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12-2025\"/>
    </mc:Choice>
  </mc:AlternateContent>
  <xr:revisionPtr revIDLastSave="0" documentId="13_ncr:1_{398245B6-F5B1-463D-9D18-4918C809BDE1}" xr6:coauthVersionLast="47" xr6:coauthVersionMax="47" xr10:uidLastSave="{00000000-0000-0000-0000-000000000000}"/>
  <bookViews>
    <workbookView xWindow="20370" yWindow="-120" windowWidth="29040" windowHeight="15840" activeTab="11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  <sheet name="082025" sheetId="9" r:id="rId8"/>
    <sheet name="092025" sheetId="11" r:id="rId9"/>
    <sheet name="102025" sheetId="12" r:id="rId10"/>
    <sheet name="112025" sheetId="13" r:id="rId11"/>
    <sheet name="122025" sheetId="14" r:id="rId12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  <definedName name="_xlnm._FilterDatabase" localSheetId="7" hidden="1">'082025'!$A$10:$G$168</definedName>
    <definedName name="_xlnm._FilterDatabase" localSheetId="8" hidden="1">'092025'!$A$10:$G$309</definedName>
    <definedName name="_xlnm._FilterDatabase" localSheetId="9" hidden="1">'102025'!$A$10:$G$311</definedName>
    <definedName name="_xlnm._FilterDatabase" localSheetId="10" hidden="1">'112025'!$A$10:$G$245</definedName>
    <definedName name="_xlnm._FilterDatabase" localSheetId="11" hidden="1">'122025'!$A$10:$G$286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5" i="14" l="1"/>
  <c r="E283" i="14"/>
  <c r="E280" i="14"/>
  <c r="E277" i="14"/>
  <c r="E272" i="14"/>
  <c r="E270" i="14"/>
  <c r="E269" i="14"/>
  <c r="E268" i="14"/>
  <c r="E266" i="14"/>
  <c r="E258" i="14"/>
  <c r="E257" i="14"/>
  <c r="E254" i="14"/>
  <c r="E252" i="14"/>
  <c r="E251" i="14"/>
  <c r="E250" i="14"/>
  <c r="E249" i="14"/>
  <c r="E248" i="14"/>
  <c r="E247" i="14"/>
  <c r="E246" i="14"/>
  <c r="E245" i="14"/>
  <c r="E243" i="14"/>
  <c r="E242" i="14"/>
  <c r="E241" i="14"/>
  <c r="E240" i="14"/>
  <c r="E239" i="14"/>
  <c r="E238" i="14"/>
  <c r="E237" i="14"/>
  <c r="E235" i="14"/>
  <c r="E234" i="14"/>
  <c r="E232" i="14"/>
  <c r="E231" i="14"/>
  <c r="E230" i="14"/>
  <c r="E227" i="14"/>
  <c r="E225" i="14"/>
  <c r="E224" i="14"/>
  <c r="E223" i="14"/>
  <c r="E222" i="14"/>
  <c r="E221" i="14"/>
  <c r="E220" i="14"/>
  <c r="E219" i="14"/>
  <c r="E217" i="14"/>
  <c r="E216" i="14"/>
  <c r="E214" i="14"/>
  <c r="E213" i="14"/>
  <c r="E212" i="14"/>
  <c r="E210" i="14"/>
  <c r="E209" i="14"/>
  <c r="E208" i="14"/>
  <c r="E207" i="14"/>
  <c r="E206" i="14"/>
  <c r="E205" i="14"/>
  <c r="E203" i="14"/>
  <c r="E202" i="14"/>
  <c r="E200" i="14"/>
  <c r="E198" i="14"/>
  <c r="E196" i="14"/>
  <c r="E195" i="14"/>
  <c r="E194" i="14"/>
  <c r="E193" i="14"/>
  <c r="E192" i="14"/>
  <c r="E191" i="14"/>
  <c r="E189" i="14"/>
  <c r="E188" i="14"/>
  <c r="E187" i="14"/>
  <c r="E186" i="14"/>
  <c r="E185" i="14"/>
  <c r="E184" i="14"/>
  <c r="E181" i="14"/>
  <c r="E178" i="14"/>
  <c r="E175" i="14"/>
  <c r="E172" i="14"/>
  <c r="E171" i="14"/>
  <c r="E170" i="14"/>
  <c r="E169" i="14"/>
  <c r="E168" i="14"/>
  <c r="E167" i="14"/>
  <c r="E166" i="14"/>
  <c r="E165" i="14"/>
  <c r="E164" i="14"/>
  <c r="E163" i="14"/>
  <c r="E162" i="14"/>
  <c r="E158" i="14"/>
  <c r="E157" i="14"/>
  <c r="E156" i="14"/>
  <c r="E155" i="14"/>
  <c r="E154" i="14"/>
  <c r="E153" i="14"/>
  <c r="E151" i="14"/>
  <c r="E149" i="14"/>
  <c r="E148" i="14"/>
  <c r="E147" i="14"/>
  <c r="E146" i="14"/>
  <c r="E145" i="14"/>
  <c r="E144" i="14"/>
  <c r="E143" i="14"/>
  <c r="E141" i="14"/>
  <c r="E140" i="14"/>
  <c r="E139" i="14"/>
  <c r="E138" i="14"/>
  <c r="E137" i="14"/>
  <c r="E135" i="14"/>
  <c r="E133" i="14"/>
  <c r="E132" i="14"/>
  <c r="E131" i="14"/>
  <c r="E130" i="14"/>
  <c r="E129" i="14"/>
  <c r="E127" i="14"/>
  <c r="E125" i="14"/>
  <c r="E124" i="14"/>
  <c r="E122" i="14"/>
  <c r="E121" i="14"/>
  <c r="E120" i="14"/>
  <c r="E119" i="14"/>
  <c r="E115" i="14"/>
  <c r="E114" i="14"/>
  <c r="E113" i="14"/>
  <c r="E112" i="14"/>
  <c r="E108" i="14"/>
  <c r="E107" i="14"/>
  <c r="E106" i="14"/>
  <c r="E103" i="14"/>
  <c r="E101" i="14"/>
  <c r="E98" i="14"/>
  <c r="E96" i="14"/>
  <c r="E95" i="14"/>
  <c r="E93" i="14"/>
  <c r="E91" i="14"/>
  <c r="E90" i="14"/>
  <c r="E89" i="14"/>
  <c r="E86" i="14"/>
  <c r="E83" i="14"/>
  <c r="E81" i="14"/>
  <c r="E79" i="14"/>
  <c r="E71" i="14"/>
  <c r="E67" i="14"/>
  <c r="E51" i="14"/>
  <c r="E50" i="14"/>
  <c r="E45" i="14"/>
  <c r="E44" i="14"/>
  <c r="E43" i="14"/>
  <c r="E41" i="14"/>
  <c r="E39" i="14"/>
  <c r="E36" i="14"/>
  <c r="E35" i="14"/>
  <c r="E34" i="14"/>
  <c r="E31" i="14"/>
  <c r="E28" i="14"/>
  <c r="E27" i="14"/>
  <c r="E25" i="14"/>
  <c r="E24" i="14"/>
  <c r="E23" i="14"/>
  <c r="E22" i="14"/>
  <c r="E18" i="14"/>
  <c r="E17" i="14"/>
  <c r="E15" i="14"/>
  <c r="E12" i="14"/>
  <c r="E11" i="14"/>
  <c r="E245" i="13"/>
  <c r="E243" i="13"/>
  <c r="E238" i="13"/>
  <c r="E237" i="13"/>
  <c r="E232" i="13"/>
  <c r="E219" i="13"/>
  <c r="E218" i="13"/>
  <c r="E217" i="13"/>
  <c r="E216" i="13"/>
  <c r="E215" i="13"/>
  <c r="E213" i="13"/>
  <c r="E208" i="13"/>
  <c r="E206" i="13"/>
  <c r="E204" i="13"/>
  <c r="E203" i="13"/>
  <c r="E202" i="13"/>
  <c r="E201" i="13"/>
  <c r="E200" i="13"/>
  <c r="E199" i="13"/>
  <c r="E198" i="13"/>
  <c r="E197" i="13"/>
  <c r="E196" i="13"/>
  <c r="E195" i="13"/>
  <c r="E194" i="13"/>
  <c r="E192" i="13"/>
  <c r="E191" i="13"/>
  <c r="E190" i="13"/>
  <c r="E189" i="13"/>
  <c r="E186" i="13"/>
  <c r="E185" i="13"/>
  <c r="E183" i="13"/>
  <c r="E182" i="13"/>
  <c r="E181" i="13"/>
  <c r="E180" i="13"/>
  <c r="E179" i="13"/>
  <c r="E176" i="13"/>
  <c r="E175" i="13"/>
  <c r="E174" i="13"/>
  <c r="E173" i="13"/>
  <c r="E172" i="13"/>
  <c r="E171" i="13"/>
  <c r="E170" i="13"/>
  <c r="E169" i="13"/>
  <c r="E167" i="13"/>
  <c r="E166" i="13"/>
  <c r="E165" i="13"/>
  <c r="E163" i="13"/>
  <c r="E162" i="13"/>
  <c r="E161" i="13"/>
  <c r="E159" i="13"/>
  <c r="E158" i="13"/>
  <c r="E156" i="13"/>
  <c r="E155" i="13"/>
  <c r="E154" i="13"/>
  <c r="E153" i="13"/>
  <c r="E149" i="13"/>
  <c r="E147" i="13"/>
  <c r="E143" i="13"/>
  <c r="E140" i="13"/>
  <c r="E138" i="13"/>
  <c r="E136" i="13"/>
  <c r="E135" i="13"/>
  <c r="E133" i="13"/>
  <c r="E132" i="13"/>
  <c r="E131" i="13"/>
  <c r="E129" i="13"/>
  <c r="E127" i="13"/>
  <c r="E126" i="13"/>
  <c r="E125" i="13"/>
  <c r="E124" i="13"/>
  <c r="E123" i="13"/>
  <c r="E121" i="13"/>
  <c r="E120" i="13"/>
  <c r="E118" i="13"/>
  <c r="E116" i="13"/>
  <c r="E108" i="13"/>
  <c r="E103" i="13"/>
  <c r="E102" i="13"/>
  <c r="E91" i="13"/>
  <c r="E90" i="13"/>
  <c r="E89" i="13"/>
  <c r="E88" i="13"/>
  <c r="E87" i="13"/>
  <c r="E86" i="13"/>
  <c r="E84" i="13"/>
  <c r="E83" i="13"/>
  <c r="E82" i="13"/>
  <c r="E81" i="13"/>
  <c r="E80" i="13"/>
  <c r="E79" i="13"/>
  <c r="E77" i="13"/>
  <c r="E73" i="13"/>
  <c r="E72" i="13"/>
  <c r="E68" i="13"/>
  <c r="E66" i="13"/>
  <c r="E64" i="13"/>
  <c r="E63" i="13"/>
  <c r="E61" i="13"/>
  <c r="E59" i="13"/>
  <c r="E58" i="13"/>
  <c r="E57" i="13"/>
  <c r="E55" i="13"/>
  <c r="E53" i="13"/>
  <c r="E50" i="13"/>
  <c r="E49" i="13"/>
  <c r="E46" i="13"/>
  <c r="E43" i="13"/>
  <c r="E42" i="13"/>
  <c r="E41" i="13"/>
  <c r="E40" i="13"/>
  <c r="E39" i="13"/>
  <c r="E36" i="13"/>
  <c r="E32" i="13"/>
  <c r="E29" i="13"/>
  <c r="E27" i="13"/>
  <c r="E25" i="13"/>
  <c r="E24" i="13"/>
  <c r="E23" i="13"/>
  <c r="E22" i="13"/>
  <c r="E21" i="13"/>
  <c r="E18" i="13"/>
  <c r="E15" i="13"/>
  <c r="E12" i="13"/>
  <c r="E11" i="13"/>
  <c r="E248" i="13" s="1"/>
  <c r="E311" i="12"/>
  <c r="E310" i="12"/>
  <c r="E308" i="12"/>
  <c r="E299" i="12"/>
  <c r="E298" i="12"/>
  <c r="E297" i="12"/>
  <c r="E296" i="12"/>
  <c r="E294" i="12"/>
  <c r="E288" i="12"/>
  <c r="E287" i="12"/>
  <c r="E286" i="12"/>
  <c r="E285" i="12"/>
  <c r="E278" i="12"/>
  <c r="E277" i="12"/>
  <c r="E276" i="12"/>
  <c r="E272" i="12"/>
  <c r="E270" i="12"/>
  <c r="E269" i="12"/>
  <c r="E268" i="12"/>
  <c r="E267" i="12"/>
  <c r="E266" i="12"/>
  <c r="E265" i="12"/>
  <c r="E264" i="12"/>
  <c r="E262" i="12"/>
  <c r="E260" i="12"/>
  <c r="E259" i="12"/>
  <c r="E258" i="12"/>
  <c r="E257" i="12"/>
  <c r="E255" i="12"/>
  <c r="E254" i="12"/>
  <c r="E252" i="12"/>
  <c r="E250" i="12"/>
  <c r="E249" i="12"/>
  <c r="E248" i="12"/>
  <c r="E246" i="12"/>
  <c r="E245" i="12"/>
  <c r="E244" i="12"/>
  <c r="E242" i="12"/>
  <c r="E241" i="12"/>
  <c r="E240" i="12"/>
  <c r="E239" i="12"/>
  <c r="E238" i="12"/>
  <c r="E237" i="12"/>
  <c r="E235" i="12"/>
  <c r="E234" i="12"/>
  <c r="E233" i="12"/>
  <c r="E232" i="12"/>
  <c r="E231" i="12"/>
  <c r="E230" i="12"/>
  <c r="E229" i="12"/>
  <c r="E227" i="12"/>
  <c r="E226" i="12"/>
  <c r="E224" i="12"/>
  <c r="E223" i="12"/>
  <c r="E221" i="12"/>
  <c r="E220" i="12"/>
  <c r="E219" i="12"/>
  <c r="E218" i="12"/>
  <c r="E217" i="12"/>
  <c r="E216" i="12"/>
  <c r="E213" i="12"/>
  <c r="E212" i="12"/>
  <c r="E211" i="12"/>
  <c r="E209" i="12"/>
  <c r="E208" i="12"/>
  <c r="E207" i="12"/>
  <c r="E206" i="12"/>
  <c r="E205" i="12"/>
  <c r="E204" i="12"/>
  <c r="E203" i="12"/>
  <c r="E202" i="12"/>
  <c r="E201" i="12"/>
  <c r="E199" i="12"/>
  <c r="E198" i="12"/>
  <c r="E197" i="12"/>
  <c r="E195" i="12"/>
  <c r="E194" i="12"/>
  <c r="E193" i="12"/>
  <c r="E192" i="12"/>
  <c r="E186" i="12"/>
  <c r="E185" i="12"/>
  <c r="E176" i="12"/>
  <c r="E175" i="12"/>
  <c r="E173" i="12"/>
  <c r="E171" i="12"/>
  <c r="E168" i="12"/>
  <c r="E165" i="12"/>
  <c r="E160" i="12"/>
  <c r="E159" i="12"/>
  <c r="E153" i="12"/>
  <c r="E152" i="12"/>
  <c r="E147" i="12"/>
  <c r="E146" i="12"/>
  <c r="E145" i="12"/>
  <c r="E139" i="12"/>
  <c r="E138" i="12"/>
  <c r="E134" i="12"/>
  <c r="E130" i="12"/>
  <c r="E128" i="12"/>
  <c r="E127" i="12"/>
  <c r="E125" i="12"/>
  <c r="E124" i="12"/>
  <c r="E123" i="12"/>
  <c r="E122" i="12"/>
  <c r="E121" i="12"/>
  <c r="E120" i="12"/>
  <c r="E119" i="12"/>
  <c r="E117" i="12"/>
  <c r="E116" i="12"/>
  <c r="E115" i="12"/>
  <c r="E114" i="12"/>
  <c r="E113" i="12"/>
  <c r="E106" i="12"/>
  <c r="E104" i="12"/>
  <c r="E102" i="12"/>
  <c r="E98" i="12"/>
  <c r="E97" i="12"/>
  <c r="E94" i="12"/>
  <c r="E93" i="12"/>
  <c r="E91" i="12"/>
  <c r="E90" i="12"/>
  <c r="E89" i="12"/>
  <c r="E88" i="12"/>
  <c r="E87" i="12"/>
  <c r="E86" i="12"/>
  <c r="E85" i="12"/>
  <c r="E84" i="12"/>
  <c r="E82" i="12"/>
  <c r="E80" i="12"/>
  <c r="E79" i="12"/>
  <c r="E78" i="12"/>
  <c r="E77" i="12"/>
  <c r="E75" i="12"/>
  <c r="E73" i="12"/>
  <c r="E71" i="12"/>
  <c r="E69" i="12"/>
  <c r="E68" i="12"/>
  <c r="E66" i="12"/>
  <c r="E65" i="12"/>
  <c r="E64" i="12"/>
  <c r="E63" i="12"/>
  <c r="E56" i="12"/>
  <c r="E55" i="12"/>
  <c r="E53" i="12"/>
  <c r="E49" i="12"/>
  <c r="E48" i="12"/>
  <c r="E47" i="12"/>
  <c r="E46" i="12"/>
  <c r="E45" i="12"/>
  <c r="E42" i="12"/>
  <c r="E41" i="12"/>
  <c r="E39" i="12"/>
  <c r="E38" i="12"/>
  <c r="E37" i="12"/>
  <c r="E34" i="12"/>
  <c r="E28" i="12"/>
  <c r="E27" i="12"/>
  <c r="E25" i="12"/>
  <c r="E23" i="12"/>
  <c r="E22" i="12"/>
  <c r="E19" i="12"/>
  <c r="E18" i="12"/>
  <c r="E16" i="12"/>
  <c r="E11" i="12"/>
  <c r="E314" i="12" s="1"/>
  <c r="E289" i="14" l="1"/>
  <c r="E309" i="11"/>
  <c r="E305" i="11"/>
  <c r="E304" i="11"/>
  <c r="E303" i="11"/>
  <c r="E302" i="11"/>
  <c r="E301" i="11"/>
  <c r="E300" i="11"/>
  <c r="E299" i="11"/>
  <c r="E298" i="11"/>
  <c r="E295" i="11"/>
  <c r="E294" i="11"/>
  <c r="E293" i="11"/>
  <c r="E291" i="11"/>
  <c r="E290" i="11"/>
  <c r="E288" i="11"/>
  <c r="E286" i="11"/>
  <c r="E285" i="11"/>
  <c r="E282" i="11"/>
  <c r="E281" i="11"/>
  <c r="E280" i="11"/>
  <c r="E277" i="11"/>
  <c r="E275" i="11"/>
  <c r="E273" i="11"/>
  <c r="E272" i="11"/>
  <c r="E271" i="11"/>
  <c r="E270" i="11"/>
  <c r="E268" i="11"/>
  <c r="E267" i="11"/>
  <c r="E266" i="11"/>
  <c r="E257" i="11"/>
  <c r="E255" i="11"/>
  <c r="E254" i="11"/>
  <c r="E250" i="11"/>
  <c r="E248" i="11"/>
  <c r="E247" i="11"/>
  <c r="E246" i="11"/>
  <c r="E244" i="11"/>
  <c r="E243" i="11"/>
  <c r="E241" i="11"/>
  <c r="E240" i="11"/>
  <c r="E239" i="11"/>
  <c r="E238" i="11"/>
  <c r="E230" i="11"/>
  <c r="E226" i="11"/>
  <c r="E224" i="11"/>
  <c r="E222" i="11"/>
  <c r="E219" i="11"/>
  <c r="E218" i="11"/>
  <c r="E217" i="11"/>
  <c r="E216" i="11"/>
  <c r="E215" i="11"/>
  <c r="E210" i="11"/>
  <c r="E209" i="11"/>
  <c r="E208" i="11"/>
  <c r="E207" i="11"/>
  <c r="E206" i="11"/>
  <c r="E205" i="11"/>
  <c r="E202" i="11"/>
  <c r="E193" i="11"/>
  <c r="E191" i="11"/>
  <c r="E190" i="11"/>
  <c r="E187" i="11"/>
  <c r="E164" i="11"/>
  <c r="E156" i="11"/>
  <c r="E150" i="11"/>
  <c r="E149" i="11"/>
  <c r="E148" i="11"/>
  <c r="E146" i="11"/>
  <c r="E145" i="11"/>
  <c r="E144" i="11"/>
  <c r="E143" i="11"/>
  <c r="E142" i="11"/>
  <c r="E140" i="11"/>
  <c r="E139" i="11"/>
  <c r="E138" i="11"/>
  <c r="E137" i="11"/>
  <c r="E134" i="11"/>
  <c r="E133" i="11"/>
  <c r="E131" i="11"/>
  <c r="E129" i="11"/>
  <c r="E127" i="11"/>
  <c r="E126" i="11"/>
  <c r="E122" i="11"/>
  <c r="E121" i="11"/>
  <c r="E111" i="11"/>
  <c r="E109" i="11"/>
  <c r="E108" i="11"/>
  <c r="E105" i="11"/>
  <c r="E104" i="11"/>
  <c r="E103" i="11"/>
  <c r="E102" i="11"/>
  <c r="E101" i="11"/>
  <c r="E100" i="11"/>
  <c r="E98" i="11"/>
  <c r="E97" i="11"/>
  <c r="E95" i="11"/>
  <c r="E94" i="11"/>
  <c r="E93" i="11"/>
  <c r="E88" i="11"/>
  <c r="E87" i="11"/>
  <c r="E85" i="11"/>
  <c r="E83" i="11"/>
  <c r="E82" i="11"/>
  <c r="E81" i="11"/>
  <c r="E80" i="11"/>
  <c r="E78" i="11"/>
  <c r="E70" i="11"/>
  <c r="E68" i="11"/>
  <c r="E67" i="11"/>
  <c r="E61" i="11"/>
  <c r="E60" i="11"/>
  <c r="E59" i="11"/>
  <c r="E56" i="11"/>
  <c r="E54" i="11"/>
  <c r="E50" i="11"/>
  <c r="E49" i="11"/>
  <c r="E45" i="11"/>
  <c r="E44" i="11"/>
  <c r="E42" i="11"/>
  <c r="E40" i="11"/>
  <c r="E38" i="11"/>
  <c r="E37" i="11"/>
  <c r="E31" i="11"/>
  <c r="E27" i="11"/>
  <c r="E24" i="11"/>
  <c r="E23" i="11"/>
  <c r="E22" i="11"/>
  <c r="E20" i="11"/>
  <c r="E18" i="11"/>
  <c r="E16" i="11"/>
  <c r="E11" i="11"/>
  <c r="E160" i="9"/>
  <c r="E159" i="9"/>
  <c r="E155" i="9"/>
  <c r="E154" i="9"/>
  <c r="E151" i="9"/>
  <c r="E148" i="9"/>
  <c r="E144" i="9"/>
  <c r="E143" i="9"/>
  <c r="E140" i="9"/>
  <c r="E139" i="9"/>
  <c r="E138" i="9"/>
  <c r="E132" i="9"/>
  <c r="E131" i="9"/>
  <c r="E130" i="9"/>
  <c r="E127" i="9"/>
  <c r="E126" i="9"/>
  <c r="E120" i="9"/>
  <c r="E114" i="9"/>
  <c r="E109" i="9"/>
  <c r="E100" i="9"/>
  <c r="E93" i="9"/>
  <c r="E92" i="9"/>
  <c r="E89" i="9"/>
  <c r="E86" i="9"/>
  <c r="E82" i="9"/>
  <c r="E81" i="9"/>
  <c r="E79" i="9"/>
  <c r="E75" i="9"/>
  <c r="E73" i="9"/>
  <c r="E70" i="9"/>
  <c r="E46" i="9"/>
  <c r="E30" i="9"/>
  <c r="E27" i="9"/>
  <c r="E16" i="9"/>
  <c r="E11" i="9"/>
  <c r="E312" i="11" l="1"/>
  <c r="E171" i="9"/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<sst xmlns="http://schemas.openxmlformats.org/spreadsheetml/2006/main" count="13213" uniqueCount="1736">
  <si>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</si>
  <si>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</si>
  <si>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</si>
  <si>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</si>
  <si>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</si>
  <si>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</si>
  <si>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</si>
  <si>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</si>
  <si>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</si>
  <si>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</si>
  <si>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</si>
  <si>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</si>
  <si>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</si>
  <si>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</si>
  <si>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</si>
  <si>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</si>
  <si>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</si>
  <si>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</si>
  <si>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</si>
  <si>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</si>
  <si>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</si>
  <si>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</si>
  <si>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</si>
  <si>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</si>
  <si>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</si>
  <si>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</si>
  <si>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</si>
  <si>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</si>
  <si>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</si>
  <si>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</si>
  <si>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</si>
  <si>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</si>
  <si>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</si>
  <si>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</si>
  <si>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</si>
  <si>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</si>
  <si>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</si>
  <si>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</si>
  <si>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</si>
  <si>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</si>
  <si>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</si>
  <si>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</si>
  <si>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</si>
  <si>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</si>
  <si>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</si>
  <si>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</si>
  <si>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</si>
  <si>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</si>
  <si>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</si>
  <si>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</si>
  <si>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</si>
  <si>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</si>
  <si>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</si>
  <si>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</si>
  <si>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</si>
  <si>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</si>
  <si>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</si>
  <si>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</si>
  <si>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</si>
  <si>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</si>
  <si>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</si>
  <si>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</si>
  <si>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</si>
  <si>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</si>
  <si>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</si>
  <si>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</si>
  <si>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</si>
  <si>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</si>
  <si>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</si>
  <si>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</si>
  <si>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</si>
  <si>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</si>
  <si>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</si>
  <si>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</si>
  <si>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</si>
  <si>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</si>
  <si>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</si>
  <si>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</si>
  <si>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</si>
  <si>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</si>
  <si>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</si>
  <si>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</si>
  <si>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</si>
  <si>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</si>
  <si>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</si>
  <si>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</si>
  <si>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</si>
  <si>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</si>
  <si>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</si>
  <si>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</si>
  <si>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</si>
  <si>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</si>
  <si>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</si>
  <si>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</si>
  <si>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</si>
  <si>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</si>
  <si>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</si>
  <si>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</si>
  <si>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</si>
  <si>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</si>
  <si>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</si>
  <si>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</si>
  <si>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</si>
  <si>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</si>
  <si>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</si>
  <si>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</si>
  <si>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</si>
  <si>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</si>
  <si>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</si>
  <si>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</si>
  <si>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</si>
  <si>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</si>
  <si>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</si>
  <si>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</si>
  <si>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</si>
  <si>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</si>
  <si>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</si>
  <si>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</si>
  <si>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</si>
  <si>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</si>
  <si>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</si>
  <si>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</si>
  <si>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</si>
  <si>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</si>
  <si>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</si>
  <si>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</si>
  <si>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</si>
  <si>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</si>
  <si>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</si>
  <si>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</si>
  <si>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</si>
  <si>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</si>
  <si>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</si>
  <si>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</si>
  <si>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</si>
  <si>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</si>
  <si>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</si>
  <si>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</si>
  <si>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</si>
  <si>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</si>
  <si>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</si>
  <si>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</si>
  <si>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</si>
  <si>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</si>
  <si>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</si>
  <si>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</si>
  <si>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</si>
  <si>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</si>
  <si>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</si>
  <si>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</si>
  <si>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</si>
  <si>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</si>
  <si>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</si>
  <si>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</si>
  <si>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</si>
  <si>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</si>
  <si>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</si>
  <si>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</si>
  <si>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</si>
  <si>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</si>
  <si>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</si>
  <si>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</si>
  <si>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</si>
  <si>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</si>
  <si>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</si>
  <si>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</si>
  <si>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</si>
  <si>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</si>
  <si>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</si>
  <si>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</si>
  <si>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</si>
  <si>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</si>
  <si>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</si>
  <si>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</si>
  <si>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</si>
  <si>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</si>
  <si>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</si>
  <si>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</si>
  <si>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</si>
  <si>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</si>
  <si>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</si>
  <si>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</si>
  <si>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</si>
  <si>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</si>
  <si>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</si>
  <si>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</si>
  <si>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</si>
  <si>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</si>
  <si>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</si>
  <si>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</si>
  <si>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</si>
  <si>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</si>
  <si>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</si>
  <si>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</si>
  <si>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</si>
  <si>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</si>
  <si>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</si>
  <si>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</si>
  <si>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</si>
  <si>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</si>
  <si>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</si>
  <si>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</si>
  <si>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</si>
  <si>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</si>
  <si>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</si>
  <si>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</si>
  <si>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</si>
  <si>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</si>
  <si>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</si>
  <si>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</si>
  <si>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</si>
  <si>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</si>
  <si>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</si>
  <si>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</si>
  <si>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</si>
  <si>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</si>
  <si>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</si>
  <si>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</si>
  <si>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</si>
  <si>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</si>
  <si>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</si>
  <si>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</si>
  <si>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</si>
  <si>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</si>
  <si>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</si>
  <si>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</si>
  <si>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</si>
  <si>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</si>
  <si>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</si>
  <si>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</si>
  <si>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</si>
  <si>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</si>
  <si>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</si>
  <si>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</si>
  <si>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</si>
  <si>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</si>
  <si>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</si>
  <si>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</si>
  <si>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</si>
  <si>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</si>
  <si>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</si>
  <si>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</si>
  <si>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</si>
  <si>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</si>
  <si>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</si>
  <si>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</si>
  <si>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</si>
  <si>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</si>
  <si>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</si>
  <si>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</si>
  <si>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</si>
  <si>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</si>
  <si>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</si>
  <si>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</si>
  <si>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</si>
  <si>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</si>
  <si>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</si>
  <si>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</si>
  <si>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</si>
  <si>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</si>
  <si>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</si>
  <si>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</si>
  <si>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</si>
  <si>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</si>
  <si>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</si>
  <si>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</si>
  <si>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</si>
  <si>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</si>
  <si>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</si>
  <si>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</si>
  <si>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</si>
  <si>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</si>
  <si>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</si>
  <si>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</si>
  <si>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</si>
  <si>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</si>
  <si>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</si>
  <si>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</si>
  <si>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</si>
  <si>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</si>
  <si>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</si>
  <si>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</si>
  <si>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</si>
  <si>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</si>
  <si>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</si>
  <si>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</si>
  <si>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</si>
  <si>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</si>
  <si>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</si>
  <si>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</si>
  <si>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</si>
  <si>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</si>
  <si>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</si>
  <si>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</si>
  <si>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</si>
  <si>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</si>
  <si>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</si>
  <si>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</si>
  <si>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</si>
  <si>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</si>
  <si>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</si>
  <si>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</si>
  <si>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</si>
  <si>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</si>
  <si>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</si>
  <si>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</si>
  <si>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</si>
  <si>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</si>
  <si>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</si>
  <si>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</si>
  <si>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</si>
  <si>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</si>
  <si>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</si>
  <si>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</si>
  <si>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</si>
  <si>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</si>
  <si>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</si>
  <si>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</si>
  <si>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</si>
  <si>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</si>
  <si>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</si>
  <si>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</si>
  <si>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</si>
  <si>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</si>
  <si>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</si>
  <si>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</si>
  <si>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</si>
  <si>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</si>
  <si>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</si>
  <si>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</si>
  <si>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</si>
  <si>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</si>
  <si>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</si>
  <si>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</si>
  <si>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</si>
  <si>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</si>
  <si>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</si>
  <si>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</si>
  <si>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</si>
  <si>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</si>
  <si>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</si>
  <si>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</si>
  <si>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</si>
  <si>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</si>
  <si>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</si>
  <si>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</si>
  <si>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</si>
  <si>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</si>
  <si>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</si>
  <si>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</si>
  <si>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</si>
  <si>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</si>
  <si>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</si>
  <si>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</si>
  <si>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</si>
  <si>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</si>
  <si>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</si>
  <si>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</si>
  <si>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</si>
  <si>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</si>
  <si>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</si>
  <si>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</si>
  <si>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</si>
  <si>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</si>
  <si>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</si>
  <si>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</si>
  <si>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</si>
  <si>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</si>
  <si>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</si>
  <si>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</si>
  <si>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</si>
  <si>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</si>
  <si>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</si>
  <si>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</si>
  <si>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</si>
  <si>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</si>
  <si>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</si>
  <si>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</si>
  <si>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</si>
  <si>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</si>
  <si>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</si>
  <si>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</si>
  <si>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</si>
  <si>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</si>
  <si>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</si>
  <si>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</si>
  <si>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</si>
  <si>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</si>
  <si>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</si>
  <si>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</si>
  <si>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</si>
  <si>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</si>
  <si>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</si>
  <si>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</si>
  <si>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</si>
  <si>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</si>
  <si>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</si>
  <si>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</si>
  <si>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</si>
  <si>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</si>
  <si>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</si>
  <si>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</si>
  <si>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</si>
  <si>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</si>
  <si>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</si>
  <si>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</si>
  <si>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</si>
  <si>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</si>
  <si>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</si>
  <si>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</si>
  <si>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</si>
  <si>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</si>
  <si>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</si>
  <si>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</si>
  <si>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</si>
  <si>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</si>
  <si>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</si>
  <si>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</si>
  <si>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</si>
  <si>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</si>
  <si>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</si>
  <si>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</si>
  <si>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</si>
  <si>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</si>
  <si>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</si>
  <si>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</si>
  <si>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</si>
  <si>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</si>
  <si>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</si>
  <si>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</si>
  <si>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</si>
  <si>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</si>
  <si>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</si>
  <si>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</si>
  <si>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</si>
  <si>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</si>
  <si>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</si>
  <si>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</si>
  <si>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</si>
  <si>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</si>
  <si>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</si>
  <si>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</si>
  <si>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</si>
  <si>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</si>
  <si>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</si>
  <si>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</si>
  <si>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</si>
  <si>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</si>
  <si>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</si>
  <si>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</si>
  <si>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</si>
  <si>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</si>
  <si>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</si>
  <si>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</si>
  <si>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</si>
  <si>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</si>
  <si>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</si>
  <si>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</si>
  <si>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</si>
  <si>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</si>
  <si>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</si>
  <si>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</si>
  <si>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</si>
  <si>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</si>
  <si>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</si>
  <si>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</si>
  <si>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</si>
  <si>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</si>
  <si>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</si>
  <si>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</si>
  <si>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</si>
  <si>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</si>
  <si>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</si>
  <si>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</si>
  <si>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</si>
  <si>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</si>
  <si>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</si>
  <si>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</si>
  <si>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</si>
  <si>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</si>
  <si>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</si>
  <si>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</si>
  <si>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</si>
  <si>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</si>
  <si>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</si>
  <si>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</si>
  <si>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</si>
  <si>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</si>
  <si>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</si>
  <si>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</si>
  <si>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</si>
  <si>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</si>
  <si>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</si>
  <si>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</si>
  <si>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</si>
  <si>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</si>
  <si>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</si>
  <si>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</si>
  <si>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</si>
  <si>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</si>
  <si>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</si>
  <si>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</si>
  <si>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</si>
  <si>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</si>
  <si>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</si>
  <si>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</si>
  <si>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</si>
  <si>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</si>
  <si>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</si>
  <si>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</si>
  <si>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</si>
  <si>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</si>
  <si>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</si>
  <si>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</si>
  <si>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</si>
  <si>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</si>
  <si>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</si>
  <si>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</si>
  <si>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</si>
  <si>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</si>
  <si>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</si>
  <si>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</si>
  <si>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</si>
  <si>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</si>
  <si>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</si>
  <si>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</si>
  <si>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</si>
  <si>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</si>
  <si>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</si>
  <si>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</si>
  <si>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</si>
  <si>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</si>
  <si>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</si>
  <si>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</si>
  <si>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</si>
  <si>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</si>
  <si>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</si>
  <si>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</si>
  <si>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</si>
  <si>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</si>
  <si>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</si>
  <si>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</si>
  <si>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</si>
  <si>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</si>
  <si>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</si>
  <si>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</si>
  <si>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</si>
  <si>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</si>
  <si>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</si>
  <si>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</si>
  <si>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</si>
  <si>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</si>
  <si>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</si>
  <si>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</si>
  <si>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</si>
  <si>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</si>
  <si>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</si>
  <si>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</si>
  <si>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</si>
  <si>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</si>
  <si>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</si>
  <si>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</si>
  <si>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</si>
  <si>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</si>
  <si>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</si>
  <si>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</si>
  <si>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</si>
  <si>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</si>
  <si>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</si>
  <si>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</si>
  <si>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</si>
  <si>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</si>
  <si>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</si>
  <si>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</si>
  <si>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</si>
  <si>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</si>
  <si>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</si>
  <si>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</si>
  <si>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</si>
  <si>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</si>
  <si>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</si>
  <si>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</si>
  <si>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</si>
  <si>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</si>
  <si>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</si>
  <si>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</si>
  <si>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</si>
  <si>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</si>
  <si>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</si>
  <si>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</si>
  <si>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</si>
  <si>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</si>
  <si>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</si>
  <si>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</si>
  <si>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</si>
  <si>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</si>
  <si>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</si>
  <si>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</si>
  <si>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</si>
  <si>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</si>
  <si>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</si>
  <si>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</si>
  <si>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</si>
  <si>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</si>
  <si>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</si>
  <si>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</si>
  <si>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</si>
  <si>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</si>
  <si>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</si>
  <si>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</si>
  <si>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</si>
  <si>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</si>
  <si>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</si>
  <si>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</si>
  <si>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</si>
  <si>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</si>
  <si>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</si>
  <si>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</si>
  <si>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</si>
  <si>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</si>
  <si>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</si>
  <si>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</si>
  <si>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</si>
  <si>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</si>
  <si>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</si>
  <si>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</si>
  <si>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</si>
  <si>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</si>
  <si>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</si>
  <si>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</si>
  <si>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</si>
  <si>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</si>
  <si>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</si>
  <si>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</si>
  <si>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</si>
  <si>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</si>
  <si>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</si>
  <si>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</si>
  <si>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</si>
  <si>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</si>
  <si>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</si>
  <si>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</si>
  <si>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</si>
  <si>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</si>
  <si>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</si>
  <si>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</si>
  <si>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</si>
  <si>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</si>
  <si>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</si>
  <si>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</si>
  <si>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</si>
  <si>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</si>
  <si>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</si>
  <si>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</si>
  <si>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</si>
  <si>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</si>
  <si>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</si>
  <si>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</si>
  <si>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</si>
  <si>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</si>
  <si>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</si>
  <si>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</si>
  <si>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</si>
  <si>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</si>
  <si>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</si>
  <si>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</si>
  <si>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</si>
  <si>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</si>
  <si>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</si>
  <si>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</si>
  <si>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</si>
  <si>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</si>
  <si>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</si>
  <si>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</si>
  <si>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</si>
  <si>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</si>
  <si>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</si>
  <si>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</si>
  <si>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</si>
  <si>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</si>
  <si>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</si>
  <si>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</si>
  <si>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</si>
  <si>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</si>
  <si>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</si>
  <si>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</si>
  <si>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</si>
  <si>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</si>
  <si>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</si>
  <si>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</si>
  <si>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</si>
  <si>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</si>
  <si>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</si>
  <si>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</si>
  <si>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</si>
  <si>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</si>
  <si>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</si>
  <si>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</si>
  <si>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</si>
  <si>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</si>
  <si>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</si>
  <si>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</si>
  <si>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</si>
  <si>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</si>
  <si>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</si>
  <si>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</si>
  <si>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</si>
  <si>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</si>
  <si>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</si>
  <si>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</si>
  <si>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</si>
  <si>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</si>
  <si>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</si>
  <si>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</si>
  <si>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</si>
  <si>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</si>
  <si>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</si>
  <si>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</si>
  <si>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</si>
  <si>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</si>
  <si>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</si>
  <si>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</si>
  <si>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</si>
  <si>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</si>
  <si>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</si>
  <si>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</si>
  <si>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</si>
  <si>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</si>
  <si>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</si>
  <si>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</si>
  <si>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</si>
  <si>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</si>
  <si>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</si>
  <si>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</si>
  <si>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</si>
  <si>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</si>
  <si>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</si>
  <si>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</si>
  <si>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</si>
  <si>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</si>
  <si>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</si>
  <si>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</si>
  <si>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</si>
  <si>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</si>
  <si>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</si>
  <si>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</si>
  <si>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</si>
  <si>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</si>
  <si>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</si>
  <si>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</si>
  <si>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</si>
  <si>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</si>
  <si>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</si>
  <si>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</si>
  <si>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</si>
  <si>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</si>
  <si>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</si>
  <si>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</si>
  <si>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</si>
  <si>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</si>
  <si>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</si>
  <si>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</si>
  <si>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</si>
  <si>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</si>
  <si>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</si>
  <si>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</si>
  <si>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</si>
  <si>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</si>
  <si>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</si>
  <si>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</si>
  <si>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</si>
  <si>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</si>
  <si>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</si>
  <si>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</si>
  <si>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</si>
  <si>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</si>
  <si>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</si>
  <si>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</si>
  <si>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</si>
  <si>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</si>
  <si>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</si>
  <si>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</si>
  <si>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</si>
  <si>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</si>
  <si>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</si>
  <si>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</si>
  <si>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</si>
  <si>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</si>
  <si>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</si>
  <si>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</si>
  <si>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</si>
  <si>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</si>
  <si>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</si>
  <si>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</si>
  <si>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</si>
  <si>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</si>
  <si>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</si>
  <si>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</si>
  <si>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</si>
  <si>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</si>
  <si>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</si>
  <si>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</si>
  <si>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</si>
  <si>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</si>
  <si>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</si>
  <si>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</si>
  <si>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</si>
  <si>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</si>
  <si>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</si>
  <si>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</si>
  <si>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</si>
  <si>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</si>
  <si>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</si>
  <si>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</si>
  <si>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</si>
  <si>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</si>
  <si>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</si>
  <si>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</si>
  <si>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</si>
  <si>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</si>
  <si>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</si>
  <si>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</si>
  <si>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</si>
  <si>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</si>
  <si>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</si>
  <si>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</si>
  <si>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</si>
  <si>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</si>
  <si>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</si>
  <si>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</si>
  <si>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</si>
  <si>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</si>
  <si>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</si>
  <si>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</si>
  <si>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</si>
  <si>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</si>
  <si>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</si>
  <si>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</si>
  <si>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</si>
  <si>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</si>
  <si>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</si>
  <si>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</si>
  <si>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</si>
  <si>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</si>
  <si>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</si>
  <si>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</si>
  <si>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</si>
  <si>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</si>
  <si>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</si>
  <si>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</si>
  <si>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</si>
  <si>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</si>
  <si>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</si>
  <si>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</si>
  <si>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</si>
  <si>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</si>
  <si>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</si>
  <si>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</si>
  <si>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</si>
  <si>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</si>
  <si>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</si>
  <si>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</si>
  <si>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</si>
  <si>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</si>
  <si>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</si>
  <si>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</si>
  <si>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</si>
  <si>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</si>
  <si>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</si>
  <si>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</si>
  <si>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</si>
  <si>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</si>
  <si>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</si>
  <si>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</si>
  <si>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</si>
  <si>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</si>
  <si>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</si>
  <si>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</si>
  <si>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</si>
  <si>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</si>
  <si>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</si>
  <si>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</si>
  <si>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</si>
  <si>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</si>
  <si>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</si>
  <si>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</si>
  <si>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</si>
  <si>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</si>
  <si>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</si>
  <si>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</si>
  <si>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</si>
  <si>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</si>
  <si>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</si>
  <si>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</si>
  <si>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</si>
  <si>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</si>
  <si>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</si>
  <si>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</si>
  <si>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</si>
  <si>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</si>
  <si>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</si>
  <si>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</si>
  <si>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</si>
  <si>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</si>
  <si>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</si>
  <si>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</si>
  <si>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</si>
  <si>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</si>
  <si>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</si>
  <si>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</si>
  <si>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</si>
  <si>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</si>
  <si>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</si>
  <si>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</si>
  <si>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</si>
  <si>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</si>
  <si>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</si>
  <si>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</si>
  <si>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</si>
  <si>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</si>
  <si>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</si>
  <si>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</si>
  <si>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</si>
  <si>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</si>
  <si>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</si>
  <si>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</si>
  <si>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</si>
  <si>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</si>
  <si>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</si>
  <si>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</si>
  <si>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</si>
  <si>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</si>
  <si>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</si>
  <si>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</si>
  <si>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</si>
  <si>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</si>
  <si>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</si>
  <si>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</si>
  <si>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</si>
  <si>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</si>
  <si>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</si>
  <si>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</si>
  <si>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</si>
  <si>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</si>
  <si>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</si>
  <si>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</si>
  <si>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</si>
  <si>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</si>
  <si>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</si>
  <si>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</si>
  <si>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</si>
  <si>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</si>
  <si>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</si>
  <si>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</si>
  <si>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</si>
  <si>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</si>
  <si>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</si>
  <si>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</si>
  <si>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</si>
  <si>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</si>
  <si>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</si>
  <si>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</si>
  <si>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</si>
  <si>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</si>
  <si>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</si>
  <si>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</si>
  <si>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</si>
  <si>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</si>
  <si>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</si>
  <si>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</si>
  <si>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</si>
  <si>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</si>
  <si>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</si>
  <si>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</si>
  <si>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</si>
  <si>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</si>
  <si>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</si>
  <si>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</si>
  <si>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</si>
  <si>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</si>
  <si>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</si>
  <si>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</si>
  <si>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</si>
  <si>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</si>
  <si>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</si>
  <si>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</si>
  <si>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</si>
  <si>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</si>
  <si>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</si>
  <si>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</si>
  <si>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</si>
  <si>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</si>
  <si>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</si>
  <si>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</si>
  <si>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</si>
  <si>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</si>
  <si>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</si>
  <si>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</si>
  <si>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</si>
  <si>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</si>
  <si>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</si>
  <si>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</si>
  <si>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</si>
  <si>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</si>
  <si>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</si>
  <si>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</si>
  <si>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</si>
  <si>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</si>
  <si>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</si>
  <si>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</si>
  <si>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</si>
  <si>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</si>
  <si>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</si>
  <si>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</si>
  <si>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</si>
  <si>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</si>
  <si>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</si>
  <si>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</si>
  <si>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</si>
  <si>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</si>
  <si>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</si>
  <si>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</si>
  <si>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</si>
  <si>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</si>
  <si>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</si>
  <si>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</si>
  <si>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</si>
  <si>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</si>
  <si>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</si>
  <si>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</si>
  <si>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</si>
  <si>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</si>
  <si>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</si>
  <si>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</si>
  <si>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</si>
  <si>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</si>
  <si>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</si>
  <si>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</si>
  <si>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</si>
  <si>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</si>
  <si>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</si>
  <si>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</si>
  <si>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</si>
  <si>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</si>
  <si>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</si>
  <si>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</si>
  <si>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</si>
  <si>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</si>
  <si>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</si>
  <si>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</si>
  <si>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</si>
  <si>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</si>
  <si>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</si>
  <si>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</si>
  <si>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</si>
  <si>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</si>
  <si>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</si>
  <si>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</si>
  <si>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</si>
  <si>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</si>
  <si>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</si>
  <si>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</si>
  <si>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</si>
  <si>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</si>
  <si>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</si>
  <si>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</si>
  <si>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</si>
  <si>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</si>
  <si>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</si>
  <si>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</si>
  <si>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</si>
  <si>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</si>
  <si>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</si>
  <si>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</si>
  <si>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</si>
  <si>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</si>
  <si>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</si>
  <si>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</si>
  <si>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</si>
  <si>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</si>
  <si>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</si>
  <si>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</si>
  <si>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</si>
  <si>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</si>
  <si>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</si>
  <si>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</si>
  <si>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</si>
  <si>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</si>
  <si>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</si>
  <si>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</si>
  <si>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</si>
  <si>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</si>
  <si>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</si>
  <si>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</si>
  <si>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</si>
  <si>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</si>
  <si>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</si>
  <si>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</si>
  <si>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</si>
  <si>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</si>
  <si>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</si>
  <si>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</si>
  <si>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</si>
  <si>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</si>
  <si>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</si>
  <si>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</si>
  <si>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</si>
  <si>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</si>
  <si>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</si>
  <si>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</si>
  <si>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</si>
  <si>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</si>
  <si>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</si>
  <si>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</si>
  <si>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</si>
  <si>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</si>
  <si>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</si>
  <si>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</si>
  <si>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</si>
  <si>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</si>
  <si>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</si>
  <si>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</si>
  <si>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</si>
  <si>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</si>
  <si>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</si>
  <si>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</si>
  <si>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</si>
  <si>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</si>
  <si>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</si>
  <si>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</si>
  <si>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</si>
  <si>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</si>
  <si>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</si>
  <si>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</si>
  <si>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</si>
  <si>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</si>
  <si>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</si>
  <si>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</si>
  <si>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</si>
  <si>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</si>
  <si>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</si>
  <si>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</si>
  <si>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</si>
  <si>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</si>
  <si>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</si>
  <si>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</si>
  <si>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</si>
  <si>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</si>
  <si>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</si>
  <si>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</si>
  <si>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</si>
  <si>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</si>
  <si>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</si>
  <si>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</si>
  <si>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</si>
  <si>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</si>
  <si>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</si>
  <si>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</si>
  <si>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</si>
  <si>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</si>
  <si>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</si>
  <si>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</si>
  <si>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</si>
  <si>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</si>
  <si>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</si>
  <si>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</si>
  <si>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</si>
  <si>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</si>
  <si>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</si>
  <si>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</si>
  <si>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</si>
  <si>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</si>
  <si>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</si>
  <si>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</si>
  <si>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</si>
  <si>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</si>
  <si>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</si>
  <si>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</si>
  <si>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</si>
  <si>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</si>
  <si>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</si>
  <si>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</si>
  <si>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</si>
  <si>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</si>
  <si>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</si>
  <si>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</si>
  <si>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</si>
  <si>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</si>
  <si>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</si>
  <si>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</si>
  <si>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</si>
  <si>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</si>
  <si>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</si>
  <si>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</si>
  <si>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</si>
  <si>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</si>
  <si>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</si>
  <si>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</si>
  <si>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</si>
  <si>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</si>
  <si>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</si>
  <si>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</si>
  <si>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</si>
  <si>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</si>
  <si>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</si>
  <si>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</si>
  <si>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</si>
  <si>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</si>
  <si>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</si>
  <si>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</si>
  <si>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</si>
  <si>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</si>
  <si>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</si>
  <si>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</si>
  <si>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</si>
  <si>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</si>
  <si>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</si>
  <si>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</si>
  <si>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</si>
  <si>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</si>
  <si>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</si>
  <si>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</si>
  <si>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</si>
  <si>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</si>
  <si>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</si>
  <si>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</si>
  <si>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</si>
  <si>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</si>
  <si>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</si>
  <si>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</si>
  <si>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</si>
  <si>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</si>
  <si>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</si>
  <si>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</si>
  <si>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</si>
  <si>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</si>
  <si>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</si>
  <si>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</si>
  <si>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</si>
  <si>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</si>
  <si>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</si>
  <si>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</si>
  <si>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</si>
  <si>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</si>
  <si>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</si>
  <si>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</si>
  <si>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</si>
  <si>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</si>
  <si>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</si>
  <si>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</si>
  <si>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</si>
  <si>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</si>
  <si>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</si>
  <si>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</si>
  <si>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</si>
  <si>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</si>
  <si>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</si>
  <si>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</si>
  <si>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</si>
  <si>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</si>
  <si>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</si>
  <si>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</si>
  <si>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</si>
  <si>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</si>
  <si>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</si>
  <si>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</si>
  <si>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</si>
  <si>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</si>
  <si>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</si>
  <si>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</si>
  <si>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</si>
  <si>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</si>
  <si>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</si>
  <si>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</si>
  <si>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</si>
  <si>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</si>
  <si>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</si>
  <si>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</si>
  <si>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</si>
  <si>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</si>
  <si>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</si>
  <si>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</si>
  <si>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</si>
  <si>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</si>
  <si>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</si>
  <si>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</si>
  <si>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</si>
  <si>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</si>
  <si>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</si>
  <si>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</si>
  <si>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</si>
  <si>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</si>
  <si>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</si>
  <si>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</si>
  <si>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</si>
  <si>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</si>
  <si>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</si>
  <si>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</si>
  <si>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</si>
  <si>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</si>
  <si>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</si>
  <si>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</si>
  <si>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</si>
  <si>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</si>
  <si>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</si>
  <si>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</si>
  <si>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</si>
  <si>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</si>
  <si>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</si>
  <si>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</si>
  <si>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</si>
  <si>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</si>
  <si>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</si>
  <si>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</si>
  <si>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</si>
  <si>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</si>
  <si>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</si>
  <si>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</si>
  <si>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</si>
  <si>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</si>
  <si>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</si>
  <si>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</si>
  <si>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</si>
  <si>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</si>
  <si>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</si>
  <si>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</si>
  <si>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</si>
  <si>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</si>
  <si>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</si>
  <si>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</si>
  <si>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</si>
  <si>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</si>
  <si>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</si>
  <si>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</si>
  <si>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</si>
  <si>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</si>
  <si>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</si>
  <si>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</si>
  <si>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</si>
  <si>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</si>
  <si>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</si>
  <si>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</si>
  <si>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</si>
  <si>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</si>
  <si>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</si>
  <si>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</si>
  <si>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</si>
  <si>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</si>
  <si>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</si>
  <si>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</si>
  <si>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</si>
  <si>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</si>
  <si>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</si>
  <si>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</si>
  <si>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</si>
  <si>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</si>
  <si>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</si>
  <si>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</si>
  <si>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</si>
  <si>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</si>
  <si>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</si>
  <si>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</si>
  <si>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</si>
  <si>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</si>
  <si>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</si>
  <si>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</si>
  <si>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</si>
  <si>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</si>
  <si>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</si>
  <si>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</si>
  <si>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</si>
  <si>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</si>
  <si>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</si>
  <si>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</si>
  <si>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</si>
  <si>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</si>
  <si>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</si>
  <si>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</si>
  <si>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</si>
  <si>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</si>
  <si>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</si>
  <si>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</si>
  <si>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</si>
  <si>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</si>
  <si>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</si>
  <si>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</si>
  <si>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</si>
  <si>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</si>
  <si>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</si>
  <si>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</si>
  <si>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</si>
  <si>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</si>
  <si>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</si>
  <si>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</si>
  <si>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</si>
  <si>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</si>
  <si>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</si>
  <si>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</si>
  <si>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</si>
  <si>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</si>
  <si>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</si>
  <si>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</si>
  <si>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</si>
  <si>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</si>
  <si>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</si>
  <si>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</si>
  <si>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</si>
  <si>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</si>
  <si>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</si>
  <si>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</si>
  <si>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</si>
  <si>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</si>
  <si>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</si>
  <si>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</si>
  <si>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</si>
  <si>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</si>
  <si>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</si>
  <si>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</si>
  <si>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</si>
  <si>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</si>
  <si>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</si>
  <si>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</si>
  <si>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</si>
  <si>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</si>
  <si>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</si>
  <si>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</si>
  <si>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</si>
  <si>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</si>
  <si>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</si>
  <si>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</si>
  <si>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</si>
  <si>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</si>
  <si>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</si>
  <si>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</si>
  <si>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</si>
  <si>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</si>
  <si>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</si>
  <si>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</si>
  <si>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</si>
  <si>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</si>
  <si>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</si>
  <si>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</si>
  <si>
    <t>TROŠENJE SREDSTAVA U KOLOVOZU 2025.</t>
  </si>
  <si>
    <t>obveze za jamstva</t>
  </si>
  <si>
    <t>DHL GLOBAL FORWARDING d.o.o.</t>
  </si>
  <si>
    <t>Buzinski prilaz 10, Zagreb</t>
  </si>
  <si>
    <t>DRAVA-PROMET d.o.o.</t>
  </si>
  <si>
    <t>Aleja Ruža 2/b, Zagreb</t>
  </si>
  <si>
    <t>MEHANOTEHNA d.o.o.</t>
  </si>
  <si>
    <t>J.J.Strossmayera 101, Osijek</t>
  </si>
  <si>
    <t>METALIA-AUTO d.o.o.</t>
  </si>
  <si>
    <t>Mostarska 1, Split</t>
  </si>
  <si>
    <t>PTP-Zaprešić d.o.o</t>
  </si>
  <si>
    <t>Ulica Ilije Gregorića 20, Zaprešić</t>
  </si>
  <si>
    <t>AMADEUS II d.o.o.</t>
  </si>
  <si>
    <t>A. Stepinca 122/3, Opuzen</t>
  </si>
  <si>
    <t>GRADSKO DRUŠTVO CRVENOG KRIŽA KNIN</t>
  </si>
  <si>
    <t>Grabovčeva 1, Knin</t>
  </si>
  <si>
    <t>IVERO d.o.o.</t>
  </si>
  <si>
    <t>Planinska ulica 13, Sesvete</t>
  </si>
  <si>
    <t>H. I. P. E. R. d.o.o.</t>
  </si>
  <si>
    <t>Ulica S. Martin 63, Vodnjan</t>
  </si>
  <si>
    <t>RATKIĆ d.o.o</t>
  </si>
  <si>
    <t>Lapovačka 7, Vinkovci</t>
  </si>
  <si>
    <t>CONCOLOR d.o.o.</t>
  </si>
  <si>
    <t>MARKO STIL d.o.o.</t>
  </si>
  <si>
    <t>Duga ulica 61, Vinkovci</t>
  </si>
  <si>
    <t>Trgovački obrt "MARIĆ COMMERCE"</t>
  </si>
  <si>
    <t>7. GBR 24, Knin</t>
  </si>
  <si>
    <t>Obrt OBRT ZA IZRADU METALNE GALANTERIJE "HIDRAULIKA"</t>
  </si>
  <si>
    <t>Ul. Sv. Petra 82A, Ogulin</t>
  </si>
  <si>
    <t>Kolodvorska 88, Lekenik</t>
  </si>
  <si>
    <t>TOKIĆ D.D.</t>
  </si>
  <si>
    <t>Ul. 144. brigade Hrvatske vojske 1A, Sesvete</t>
  </si>
  <si>
    <t>TRGO-AGENCIJA d.o.o.</t>
  </si>
  <si>
    <t>Donji Cubinec 69a, Cubinec</t>
  </si>
  <si>
    <t>SIRAS D.O.O.</t>
  </si>
  <si>
    <t>Ivanićgradska ulica 56, Zagreb</t>
  </si>
  <si>
    <t>AUTOKUĆA GAŠPARIĆ D.O.O.</t>
  </si>
  <si>
    <t>Ul. dr. Tome Bratkovića 1, Čakovec</t>
  </si>
  <si>
    <t>ZUBAK GRUPA D.O.O.</t>
  </si>
  <si>
    <t>Zagrebačka 117, Velika Gorica</t>
  </si>
  <si>
    <t>GEWINDE oprema za industriju</t>
  </si>
  <si>
    <t xml:space="preserve">	46662592772</t>
  </si>
  <si>
    <t>Josipa Jurja Strossmayera 129, Osijek</t>
  </si>
  <si>
    <t>Ukupno u kolovozu 2025.</t>
  </si>
  <si>
    <t>TROŠENJE SREDSTAVA U RUJNU 2025.</t>
  </si>
  <si>
    <t>ROTOMETAL-ING D.O.O.</t>
  </si>
  <si>
    <t>Svetonedjeljska ulica 19, Samobor</t>
  </si>
  <si>
    <t>RE-CON CENTAR -INZENJERING</t>
  </si>
  <si>
    <t xml:space="preserve">Donjozelinska ulica 111, Donja Zelina </t>
  </si>
  <si>
    <t>USTANOVA ZA ZDRAVSTVENU SKRB ADRIA MEDIC</t>
  </si>
  <si>
    <t>Lovrin 80/B, Lovrin</t>
  </si>
  <si>
    <t xml:space="preserve"> 08804394967</t>
  </si>
  <si>
    <t>Kralja S.Držislava 23, Đakovo</t>
  </si>
  <si>
    <t>TOKIĆ d.d.</t>
  </si>
  <si>
    <t>ANMA d.o.o.</t>
  </si>
  <si>
    <t>Ivana Kozarca 52, Vinkovci</t>
  </si>
  <si>
    <t>SIJ RAVNE SYSTEMS d.o.o.</t>
  </si>
  <si>
    <t>SI75949504</t>
  </si>
  <si>
    <t>Koroška cesta 14, Slovenija</t>
  </si>
  <si>
    <t>INSPECTO d.o.o.</t>
  </si>
  <si>
    <t>Električne centrale 1, Đakovo</t>
  </si>
  <si>
    <t>MAVRO INTERNATIONAL d.o.o.</t>
  </si>
  <si>
    <t>SI56399723</t>
  </si>
  <si>
    <t>Jevnica 61, Kresnice, Slovenija</t>
  </si>
  <si>
    <t>PERTEC MACHINES d.o.o.</t>
  </si>
  <si>
    <t>Gavanovačka ulica 8A, Zagreb</t>
  </si>
  <si>
    <t>ETV-ENERGIETECHNIK MIRO VINS</t>
  </si>
  <si>
    <t>ATU49513405</t>
  </si>
  <si>
    <t>Strohgasse 2/13, A , Beč, Austrija</t>
  </si>
  <si>
    <t>Dräger Safety d.o.o.</t>
  </si>
  <si>
    <t>Avenija Većeslava Holjevca 40, Zagreb</t>
  </si>
  <si>
    <t>IMBUS d.o.o.</t>
  </si>
  <si>
    <t>Drage Stipca 4, Zagreb</t>
  </si>
  <si>
    <t>KONČAR - Generatori i motori d.o.o.</t>
  </si>
  <si>
    <t>Fallerovo Šetalište 22, Zagreb</t>
  </si>
  <si>
    <t>SPECIJALISTIČKA ORDINACIJA MED.RADA HELENA BLAŽIĆ</t>
  </si>
  <si>
    <t>Ivana Cankara 7, Pula</t>
  </si>
  <si>
    <t>01254445043</t>
  </si>
  <si>
    <t xml:space="preserve">KIARA VEŠERAJ j.d.o.o. </t>
  </si>
  <si>
    <t>Hrvatskih kraljeva 46, Vinkovci</t>
  </si>
  <si>
    <t>SAMPOS d.o.o.</t>
  </si>
  <si>
    <t>Svetonedeljska 4/D, Samobor</t>
  </si>
  <si>
    <t>MAREX ZAGREB d.o.o.</t>
  </si>
  <si>
    <t>Livadarski put 21, Sesvete</t>
  </si>
  <si>
    <t>VODOVODNA CESTA 100, Slovenija</t>
  </si>
  <si>
    <t>AGRO-DOM  TRGOVINA I SERVIS POLJOPRIV.STROJEVA</t>
  </si>
  <si>
    <t>ul. Ivana Bunića Vučića 20, Zagreb</t>
  </si>
  <si>
    <t>H-TERM d.o.o.</t>
  </si>
  <si>
    <t>Nikole Tesle 5, Valpovo</t>
  </si>
  <si>
    <t>TILIA - uslužni obrt pranja tekstila Vl. KATICA IVIĆ</t>
  </si>
  <si>
    <t>Svetog Petka 46 A, Osijek</t>
  </si>
  <si>
    <t>IN TIME d.o.o.</t>
  </si>
  <si>
    <t>Velika cesta 78, Zagreb</t>
  </si>
  <si>
    <t>METALSKA INDUSTRIJA VARAŽDIN d.d.</t>
  </si>
  <si>
    <t>Metalska ulica 2, Varaždin</t>
  </si>
  <si>
    <t>METALIA-AUTO, d.o.o.</t>
  </si>
  <si>
    <t>EKO BLIC, INDUSTRIJSKA ČIŠĆENJA, VL. DEJAN ŽIVODER</t>
  </si>
  <si>
    <t>M. Milankovića 23, Bršadin</t>
  </si>
  <si>
    <t>Ulica grada Vukovara 238a, Zagreb</t>
  </si>
  <si>
    <t>ANTIPIROS d.o.o.</t>
  </si>
  <si>
    <t>Pujanke 77/A, Split</t>
  </si>
  <si>
    <t>ZAŠTITA  ATEST d.o.o.</t>
  </si>
  <si>
    <t>Bani 75, Zagreb</t>
  </si>
  <si>
    <t>ELEKTROTEHNIKA  SERVIS Vl. DEJAN KRIZMAN</t>
  </si>
  <si>
    <t>Antenska 9, Pula</t>
  </si>
  <si>
    <t>LAGRO D.O.O.</t>
  </si>
  <si>
    <t>POLJO-JOSO D.O.O.</t>
  </si>
  <si>
    <t>Vernička ulica 5A, Gornji Stupnik</t>
  </si>
  <si>
    <t>SORMIKO D.O.O.</t>
  </si>
  <si>
    <t>Ukupno u rujnu 2025.</t>
  </si>
  <si>
    <t>TROŠENJE SREDSTAVA U LISTOPADU 2025.</t>
  </si>
  <si>
    <t>HŽ Putnički prijevoz d.o.o.</t>
  </si>
  <si>
    <t>Strojarska cesta 11, Zagreb</t>
  </si>
  <si>
    <t>ERGONOVA PILJEK d.o.o.</t>
  </si>
  <si>
    <t>Mirkovec 77A, Mirkovec</t>
  </si>
  <si>
    <t>naknada štete</t>
  </si>
  <si>
    <t>NOVOTECH d.o.o.</t>
  </si>
  <si>
    <t>Ulica Grada Wirgesa 10/9, Samobor</t>
  </si>
  <si>
    <t>MENDIS-PROJEKT  D.O.O.</t>
  </si>
  <si>
    <t>EKO-DIM  DIMNJAČARSKO-USLUŽNI OBRT</t>
  </si>
  <si>
    <t>Lj. Gaja br. 1 c, Vinkovci</t>
  </si>
  <si>
    <t>HIDRAULIKA FLEX d.o.o.</t>
  </si>
  <si>
    <t>Hrvoja Vukčić - Hrvatinića 118A, Vinkovci</t>
  </si>
  <si>
    <t>DUPLICO d.o.o.</t>
  </si>
  <si>
    <t>Svetonedeljska cesta 18, Kalinovica</t>
  </si>
  <si>
    <t>GARDIEN d.o.o. - Restoran Tajer</t>
  </si>
  <si>
    <t>Zelengaj 18, Zagreb</t>
  </si>
  <si>
    <t>Obrt LAMPION, OBRT ZA UGOSTITELJSTVO</t>
  </si>
  <si>
    <t>SOKOLSKA ULICA 47 A, Zagreb</t>
  </si>
  <si>
    <t>DOMITRAN d.o.o.</t>
  </si>
  <si>
    <t>Krečaves 21, 10380, Krečaves</t>
  </si>
  <si>
    <t>EUROVENT SISTEMI d.o.o</t>
  </si>
  <si>
    <t>Ulica Zinke Kunc 4, Zagreb</t>
  </si>
  <si>
    <t>MASTER NDT d.o.o.</t>
  </si>
  <si>
    <t>troškovi stručnog usavršavanja radnika</t>
  </si>
  <si>
    <t>TERMOCENTER d.o.o.</t>
  </si>
  <si>
    <t>SI69606595</t>
  </si>
  <si>
    <t>Zaloška cesta 149, Ljubljana, Slovenija</t>
  </si>
  <si>
    <t>ROEDIGER VACUUM GmbH</t>
  </si>
  <si>
    <t>DE345351340</t>
  </si>
  <si>
    <t>Kinzigheimer Weg 104, Hanau, Njemačka</t>
  </si>
  <si>
    <t>TINEX &amp; BELL d.o.o.</t>
  </si>
  <si>
    <t>Poslovna cona B 20, Šenčur, Slovenija</t>
  </si>
  <si>
    <t>ĐURO ĐAKOVIĆ KOMPENZATORI d.o.o.</t>
  </si>
  <si>
    <t>Ulica 108. brigade ZNG 62, Slavonski Brod</t>
  </si>
  <si>
    <t>ProElektronika d.o.o.</t>
  </si>
  <si>
    <t>SPECIJALNA ZAVARIVANJA ČUKMAN d.o.o.</t>
  </si>
  <si>
    <t>Ježdovečka ulica 1c, Lučko</t>
  </si>
  <si>
    <t>TAHOGRAF D.O.O.</t>
  </si>
  <si>
    <t>Dr. Franje Tuđmana 24, Sveta Nedjelja</t>
  </si>
  <si>
    <t>HRVATSKO DRUŠTVO ZA KONTROLU BEZ RAZARANJA d.o.o.</t>
  </si>
  <si>
    <t>Berislavićeva ulica 6, Zagreb</t>
  </si>
  <si>
    <t>LUX METAL j.d.o.o.</t>
  </si>
  <si>
    <t>Marka Ćaćića 2, Kovačić</t>
  </si>
  <si>
    <t>SERVIS ZA BRAVE VJEŠTICA</t>
  </si>
  <si>
    <t>Ozaljska 13, Zagreb</t>
  </si>
  <si>
    <t>ENERGO FLUID d.o.o.</t>
  </si>
  <si>
    <t>Lazina 105, Lazina Čička</t>
  </si>
  <si>
    <t>PROCON  HAJTÁSTECHNIKA KFT</t>
  </si>
  <si>
    <t>HU12172487</t>
  </si>
  <si>
    <t>4 Kisfaludy utca, Budapest IV., Mađarska</t>
  </si>
  <si>
    <t>CWG d.o.o.</t>
  </si>
  <si>
    <t>Braće Radića 132, Mraclin</t>
  </si>
  <si>
    <t>DIZALICA d.o.o.</t>
  </si>
  <si>
    <t>Slavonska avenija 22, Zagreb</t>
  </si>
  <si>
    <t>MIRNI KUTIĆ d.o.o.</t>
  </si>
  <si>
    <t>Hrelićka 33, Zagreb</t>
  </si>
  <si>
    <t>Ulica Glogovničke bune 23, Križevci</t>
  </si>
  <si>
    <t>KARCHER D.O.O.</t>
  </si>
  <si>
    <t>03109396077</t>
  </si>
  <si>
    <t>Samoborska cesta 169 A, Zagreb</t>
  </si>
  <si>
    <t>JAVNI BILJEŽNIK NADIJA GAJSKI MINDOLJEVIĆ</t>
  </si>
  <si>
    <t>Mandrovićeva 17, Zagreb</t>
  </si>
  <si>
    <t>ZAVOD ZA ZAVARIVANJE I TOPLINSKU TEHNOLOGIJU d.o.o</t>
  </si>
  <si>
    <t>03045687053</t>
  </si>
  <si>
    <t>ULICA GRADA VUKOVARA 68, Zagreb</t>
  </si>
  <si>
    <t>SINDIKAT HRVATSKIH ŽELJEZNIČARA</t>
  </si>
  <si>
    <t>STROJARSKA CESTA 17, ZAGREB</t>
  </si>
  <si>
    <t>donacija</t>
  </si>
  <si>
    <t>UDRUGA BRANITELJA DOMOV.RATA HRV.ŽELJ.RIJEKA</t>
  </si>
  <si>
    <t>Trg kralja Tomislava 1, Rijeka</t>
  </si>
  <si>
    <t>TEB - poslovno savjetovanje d.o.o.</t>
  </si>
  <si>
    <t>Trg žrtava fašizma 15/I, Zagreb</t>
  </si>
  <si>
    <t>FOND ZA ZAŠTITU OKOLIŠA I ENERGETSKU UČINKOVITOST</t>
  </si>
  <si>
    <t>FASTSPRING Inc.</t>
  </si>
  <si>
    <t>EU372017645</t>
  </si>
  <si>
    <t>801 GARDEN STREET, CA, USA</t>
  </si>
  <si>
    <t>SOLNA, BOX 606, Švedska</t>
  </si>
  <si>
    <t>Ukupno u listopadu 2025.</t>
  </si>
  <si>
    <t>TROŠENJE SREDSTAVA U STUDENOM 2025.</t>
  </si>
  <si>
    <t>IMP CRPKE ZAGREB d.o.o.</t>
  </si>
  <si>
    <t>Josipa Seisela 24, Zagreb</t>
  </si>
  <si>
    <t>MAG SISTEM d.o.o.</t>
  </si>
  <si>
    <t>Put Brižina 19, Kaštel Sućurac</t>
  </si>
  <si>
    <t>DRUŠVO ENERGETIČARA VARAŽDIN</t>
  </si>
  <si>
    <t>Graberje 33, Varaždin</t>
  </si>
  <si>
    <t>ALGEBRA d.o.o.</t>
  </si>
  <si>
    <t>Gradišćanska ulica 24, Zagreb</t>
  </si>
  <si>
    <t>K7 D.O.O.</t>
  </si>
  <si>
    <t>Ulica Kračina 8, Bartolovec</t>
  </si>
  <si>
    <t>HITTNER d.o.o.</t>
  </si>
  <si>
    <t>Pakračka 10, Bjelovar</t>
  </si>
  <si>
    <t>KONČAR-KUĆANSKI APARATI d.d.</t>
  </si>
  <si>
    <t>Karlovačka 23, Pisarovina</t>
  </si>
  <si>
    <t>VODOMATERIJAL d.d.</t>
  </si>
  <si>
    <t>Sajmište 174, Vukovar</t>
  </si>
  <si>
    <t>KUM d.o.o.</t>
  </si>
  <si>
    <t>00507569792</t>
  </si>
  <si>
    <t>Ulica 142. brigade 31, Siverić</t>
  </si>
  <si>
    <t>Dr. Franje Tuđmana 35, Slavonski Brod</t>
  </si>
  <si>
    <t>VMV SZABO d.o.o.</t>
  </si>
  <si>
    <t>Karlovačka cesta 4/H, Zagreb</t>
  </si>
  <si>
    <t>RIJEKATANK d.o.o.</t>
  </si>
  <si>
    <t>Bartola Kašića 5/2, Rijeka</t>
  </si>
  <si>
    <t>SAGENA INFORMATIČKI INŽENJERING D.O.O.</t>
  </si>
  <si>
    <t>Donje Svetice 46C, Zagreb</t>
  </si>
  <si>
    <t xml:space="preserve">JUŽNI PROLAZ d.o.o. </t>
  </si>
  <si>
    <t>Majstorska ulica 3, Zagreb</t>
  </si>
  <si>
    <t>Gostionica "TRI LOVCA" vl. Milan Reljić</t>
  </si>
  <si>
    <t>4. gardijske 32, Knin</t>
  </si>
  <si>
    <t>ERG d.o.o.</t>
  </si>
  <si>
    <t>Kućanska ulica 4, Varaždin</t>
  </si>
  <si>
    <t>MARCO S.P.A.</t>
  </si>
  <si>
    <t>IT01239410176</t>
  </si>
  <si>
    <t>CASTENEDOLO, Italija</t>
  </si>
  <si>
    <t>PROMONA SOLUTIONS J.D.O.O.</t>
  </si>
  <si>
    <t>Novačka ulica 300, Zagreb</t>
  </si>
  <si>
    <t>ALSTOM TRANSPORTATION GERMANY GmbH</t>
  </si>
  <si>
    <t>DE811928847</t>
  </si>
  <si>
    <t>Am Rathenaupark 1,Hennigsdorf, Njemačka</t>
  </si>
  <si>
    <t>METROALFA d.o.o.</t>
  </si>
  <si>
    <t>MIKAČ obrt za usluge, vl. Radenko Simić</t>
  </si>
  <si>
    <t>Martinkovec 124, Varaždinske Toplice</t>
  </si>
  <si>
    <t>AUTO HRVATSKA AUTOMOBILI d.o.o.</t>
  </si>
  <si>
    <t>DRUŠTVO ENERGETIČARA SPLIT</t>
  </si>
  <si>
    <t>Ruđera Boškovića 21, Split</t>
  </si>
  <si>
    <t>Ukupno u studenom 2025.</t>
  </si>
  <si>
    <t>Radnička cesta 182A, Zagreb</t>
  </si>
  <si>
    <t>TROŠENJE SREDSTAVA U PROSINCU 2025.</t>
  </si>
  <si>
    <t>EURO DAUS d.d.</t>
  </si>
  <si>
    <t>Put Mostina 1, Split</t>
  </si>
  <si>
    <t>ELEKTROREMONT SUBOTICA d.o.o.</t>
  </si>
  <si>
    <t>SR100843775</t>
  </si>
  <si>
    <t>IVANA MEŠTROVIĆA 2, Subotica, Srbija</t>
  </si>
  <si>
    <t>DOBAR PARTNER d.o.o.</t>
  </si>
  <si>
    <t>Ulica Siniše Glavaševića 6, Zagreb</t>
  </si>
  <si>
    <t>LEŽAJ - COMMERCE d.o.o.</t>
  </si>
  <si>
    <t>Ulica Sv L. Bogdana Mandića 111Z, Osijek</t>
  </si>
  <si>
    <t>BMB LAB d.o.o.</t>
  </si>
  <si>
    <t>F.lli Giacomello Srl</t>
  </si>
  <si>
    <t>IT08138470151</t>
  </si>
  <si>
    <t>Via Magenta 77 Cap 15/A, Italija</t>
  </si>
  <si>
    <t>HU11168694</t>
  </si>
  <si>
    <t>Eszék u. 13-15, Budimpešta, Mađarska</t>
  </si>
  <si>
    <t>MAMB, obrt za prijevoz i usluge</t>
  </si>
  <si>
    <t>Fra L. Vladimirovića 10, Ploče</t>
  </si>
  <si>
    <t>By the way d.o.o.</t>
  </si>
  <si>
    <t>04873875334</t>
  </si>
  <si>
    <t>Utinjska ulica 17A, Zagreb</t>
  </si>
  <si>
    <t>AUREL d.o.o.</t>
  </si>
  <si>
    <t>Borongajska cesta 81B/ 2 , Zagreb</t>
  </si>
  <si>
    <t>HŽ CARGO D.O.O.</t>
  </si>
  <si>
    <t xml:space="preserve">08720210702 </t>
  </si>
  <si>
    <t>novčani polog za ozbiljnost ponude</t>
  </si>
  <si>
    <t>ELEKTROKOVINA  ADRIA D.O.O.</t>
  </si>
  <si>
    <t>Kopilica 62, Split</t>
  </si>
  <si>
    <t>Eurofins Croatiakontrola d.o.o.</t>
  </si>
  <si>
    <t>pristujba za upis člana NO u sudski registar</t>
  </si>
  <si>
    <t>pomoć u slučaju smrti zaposlenika</t>
  </si>
  <si>
    <t>AUTO KUĆA JERKOVIĆ D.O.O.</t>
  </si>
  <si>
    <t>Ulica Poduzetnička zona 12, Opuzen</t>
  </si>
  <si>
    <t>DEJAN MIHAJLOVIĆ PR INTEGRA DM</t>
  </si>
  <si>
    <t>RS109539851</t>
  </si>
  <si>
    <t>BRANKA MILJKOVIĆA 54, 18000, Niš, Srbija</t>
  </si>
  <si>
    <t>GRAĐA D.D. SOLIN</t>
  </si>
  <si>
    <t>Vranjički put 2, Solin</t>
  </si>
  <si>
    <t>ULJANIK BRODOGRADNJA 1856 d.o.o.</t>
  </si>
  <si>
    <t>Flaciusova 1, Pula</t>
  </si>
  <si>
    <t>KODRA d.o.o.</t>
  </si>
  <si>
    <t>Vrtna ulica 40, Bartolovec</t>
  </si>
  <si>
    <t>KOLPA d.d</t>
  </si>
  <si>
    <t>Rosalnice 5, Metlika, Slovenija</t>
  </si>
  <si>
    <t>HEMCO d.o.o.</t>
  </si>
  <si>
    <t>Ante Starčevića 196b, Đakovo</t>
  </si>
  <si>
    <t>PAN-PROM D.O.O.</t>
  </si>
  <si>
    <t>DUPIN D.O.O.</t>
  </si>
  <si>
    <t>Dvorničićeva 22, Zagreb</t>
  </si>
  <si>
    <t>Brušanska ulica 27A, Zagreb</t>
  </si>
  <si>
    <t>trošak stručne literature</t>
  </si>
  <si>
    <t xml:space="preserve">ostale usluge </t>
  </si>
  <si>
    <t>TERMOPLIN D.D.</t>
  </si>
  <si>
    <t>Ulica Vjekoslava Spinčića 80, Varaždin</t>
  </si>
  <si>
    <t>prigodna nagrada - božićnica</t>
  </si>
  <si>
    <t>Ukupno u prosincu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</si>
</sst>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center" wrapText="1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D57A6-397E-4EEF-827E-1685811B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B2519-4F14-4B26-B895-7703F599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E67A9-92DD-47C8-B590-EE051C32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76F40-B461-405A-9234-02DBBB0E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6A00E-3A26-4A6A-8575-C0DA18EC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627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4">
        <v>19</v>
      </c>
      <c r="B29" s="76" t="s">
        <v>393</v>
      </c>
      <c r="C29" s="74">
        <v>66253945791</v>
      </c>
      <c r="D29" s="76" t="s">
        <v>50</v>
      </c>
      <c r="E29" s="16">
        <v>73589.5</v>
      </c>
      <c r="F29" s="76" t="s">
        <v>9</v>
      </c>
      <c r="G29" s="28" t="s">
        <v>39</v>
      </c>
    </row>
    <row r="30" spans="1:9" x14ac:dyDescent="0.2">
      <c r="A30" s="80"/>
      <c r="B30" s="79"/>
      <c r="C30" s="80"/>
      <c r="D30" s="79"/>
      <c r="E30" s="8">
        <f>78385.62+187282.53+90000</f>
        <v>355668.15</v>
      </c>
      <c r="F30" s="79"/>
      <c r="G30" s="2" t="s">
        <v>41</v>
      </c>
      <c r="I30" s="13"/>
    </row>
    <row r="31" spans="1:9" ht="12.75" thickBot="1" x14ac:dyDescent="0.25">
      <c r="A31" s="75"/>
      <c r="B31" s="77"/>
      <c r="C31" s="75"/>
      <c r="D31" s="77"/>
      <c r="E31" s="18">
        <v>26168.85</v>
      </c>
      <c r="F31" s="77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4">
        <v>22</v>
      </c>
      <c r="B34" s="76" t="s">
        <v>43</v>
      </c>
      <c r="C34" s="74">
        <v>39901919995</v>
      </c>
      <c r="D34" s="76" t="s">
        <v>51</v>
      </c>
      <c r="E34" s="16">
        <v>2275.29</v>
      </c>
      <c r="F34" s="76" t="s">
        <v>9</v>
      </c>
      <c r="G34" s="28" t="s">
        <v>44</v>
      </c>
    </row>
    <row r="35" spans="1:9" x14ac:dyDescent="0.2">
      <c r="A35" s="80"/>
      <c r="B35" s="79"/>
      <c r="C35" s="80"/>
      <c r="D35" s="79"/>
      <c r="E35" s="8">
        <v>1026.19</v>
      </c>
      <c r="F35" s="79"/>
      <c r="G35" s="2" t="s">
        <v>45</v>
      </c>
      <c r="I35" s="13"/>
    </row>
    <row r="36" spans="1:9" x14ac:dyDescent="0.2">
      <c r="A36" s="80"/>
      <c r="B36" s="79"/>
      <c r="C36" s="80"/>
      <c r="D36" s="79"/>
      <c r="E36" s="8">
        <v>2199.2399999999998</v>
      </c>
      <c r="F36" s="79"/>
      <c r="G36" s="2" t="s">
        <v>46</v>
      </c>
    </row>
    <row r="37" spans="1:9" ht="12.75" thickBot="1" x14ac:dyDescent="0.25">
      <c r="A37" s="75"/>
      <c r="B37" s="77"/>
      <c r="C37" s="75"/>
      <c r="D37" s="77"/>
      <c r="E37" s="18">
        <v>1282.1199999999999</v>
      </c>
      <c r="F37" s="77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8">
        <v>24</v>
      </c>
      <c r="B39" s="81" t="s">
        <v>55</v>
      </c>
      <c r="C39" s="78">
        <v>11471889269</v>
      </c>
      <c r="D39" s="81" t="s">
        <v>56</v>
      </c>
      <c r="E39" s="16">
        <v>6089.81</v>
      </c>
      <c r="F39" s="84" t="s">
        <v>9</v>
      </c>
      <c r="G39" s="28" t="s">
        <v>41</v>
      </c>
    </row>
    <row r="40" spans="1:9" ht="12.75" thickBot="1" x14ac:dyDescent="0.25">
      <c r="A40" s="78"/>
      <c r="B40" s="81"/>
      <c r="C40" s="78"/>
      <c r="D40" s="81"/>
      <c r="E40" s="18">
        <f>21446.73+20000+4025+33667.35</f>
        <v>79139.079999999987</v>
      </c>
      <c r="F40" s="85"/>
      <c r="G40" s="29" t="s">
        <v>21</v>
      </c>
    </row>
    <row r="41" spans="1:9" ht="12.75" thickBot="1" x14ac:dyDescent="0.25">
      <c r="A41" s="78">
        <v>25</v>
      </c>
      <c r="B41" s="81" t="s">
        <v>57</v>
      </c>
      <c r="C41" s="78">
        <v>27759560625</v>
      </c>
      <c r="D41" s="86" t="s">
        <v>59</v>
      </c>
      <c r="E41" s="16">
        <v>6200.91</v>
      </c>
      <c r="F41" s="84" t="s">
        <v>9</v>
      </c>
      <c r="G41" s="28" t="s">
        <v>58</v>
      </c>
    </row>
    <row r="42" spans="1:9" ht="12.75" thickBot="1" x14ac:dyDescent="0.25">
      <c r="A42" s="78"/>
      <c r="B42" s="81"/>
      <c r="C42" s="78"/>
      <c r="D42" s="86"/>
      <c r="E42" s="15">
        <v>1314.48</v>
      </c>
      <c r="F42" s="87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4">
        <v>40</v>
      </c>
      <c r="B57" s="76" t="s">
        <v>91</v>
      </c>
      <c r="C57" s="74">
        <v>34976993601</v>
      </c>
      <c r="D57" s="76" t="s">
        <v>92</v>
      </c>
      <c r="E57" s="16">
        <v>449.45</v>
      </c>
      <c r="F57" s="76" t="s">
        <v>9</v>
      </c>
      <c r="G57" s="28" t="s">
        <v>90</v>
      </c>
    </row>
    <row r="58" spans="1:7" ht="12.75" thickBot="1" x14ac:dyDescent="0.25">
      <c r="A58" s="75"/>
      <c r="B58" s="77"/>
      <c r="C58" s="75"/>
      <c r="D58" s="77"/>
      <c r="E58" s="18">
        <v>762.11</v>
      </c>
      <c r="F58" s="77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4">
        <v>86</v>
      </c>
      <c r="B104" s="76" t="s">
        <v>143</v>
      </c>
      <c r="C104" s="74">
        <v>34421776805</v>
      </c>
      <c r="D104" s="76" t="s">
        <v>175</v>
      </c>
      <c r="E104" s="16">
        <f>252.5+1808.69</f>
        <v>2061.19</v>
      </c>
      <c r="F104" s="76" t="s">
        <v>9</v>
      </c>
      <c r="G104" s="28" t="s">
        <v>144</v>
      </c>
    </row>
    <row r="105" spans="1:9" ht="12.75" thickBot="1" x14ac:dyDescent="0.25">
      <c r="A105" s="75"/>
      <c r="B105" s="77"/>
      <c r="C105" s="75"/>
      <c r="D105" s="77"/>
      <c r="E105" s="18">
        <f>307.8+686.86+684.73</f>
        <v>1679.39</v>
      </c>
      <c r="F105" s="77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A39:A40"/>
    <mergeCell ref="A41:A42"/>
    <mergeCell ref="A57:A58"/>
    <mergeCell ref="B34:B37"/>
    <mergeCell ref="A34:A37"/>
    <mergeCell ref="B39:B40"/>
    <mergeCell ref="B57:B58"/>
    <mergeCell ref="B41:B42"/>
    <mergeCell ref="A104:A105"/>
    <mergeCell ref="B104:B105"/>
    <mergeCell ref="C104:C105"/>
    <mergeCell ref="D104:D105"/>
    <mergeCell ref="F104:F105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3546-C3B8-4763-B493-421E14D998E2}">
  <dimension ref="A1:G320"/>
  <sheetViews>
    <sheetView topLeftCell="A301" workbookViewId="0">
      <selection activeCell="C321" sqref="C321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1552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1097</v>
      </c>
      <c r="C12" s="11">
        <v>11085290021</v>
      </c>
      <c r="D12" s="5" t="s">
        <v>1098</v>
      </c>
      <c r="E12" s="8">
        <v>163.13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67.92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417</v>
      </c>
      <c r="C14" s="11" t="s">
        <v>418</v>
      </c>
      <c r="D14" s="5" t="s">
        <v>419</v>
      </c>
      <c r="E14" s="8">
        <v>10000</v>
      </c>
      <c r="F14" s="5" t="s">
        <v>9</v>
      </c>
      <c r="G14" s="2" t="s">
        <v>21</v>
      </c>
    </row>
    <row r="15" spans="1:7" x14ac:dyDescent="0.25">
      <c r="A15" s="11">
        <v>5</v>
      </c>
      <c r="B15" s="21" t="s">
        <v>1553</v>
      </c>
      <c r="C15" s="22">
        <v>80572192786</v>
      </c>
      <c r="D15" s="21" t="s">
        <v>1554</v>
      </c>
      <c r="E15" s="8">
        <v>255.31</v>
      </c>
      <c r="F15" s="5" t="s">
        <v>9</v>
      </c>
      <c r="G15" s="2" t="s">
        <v>535</v>
      </c>
    </row>
    <row r="16" spans="1:7" ht="15.7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5732.12+5760.05</f>
        <v>11492.17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470.4+4.72+78+5.05</f>
        <v>558.16999999999996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8000+2000</f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v>85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1453594.44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40+5080+966.25</f>
        <v>6086.25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372.04+1272.51</f>
        <v>1644.55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1330.87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850+300</f>
        <v>1150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10900+16000</f>
        <v>26900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252</v>
      </c>
      <c r="C28" s="11">
        <v>47530485643</v>
      </c>
      <c r="D28" s="5" t="s">
        <v>253</v>
      </c>
      <c r="E28" s="8">
        <f>1000+420+3590+1185+2000</f>
        <v>8195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v>40000</v>
      </c>
      <c r="F29" s="19" t="s">
        <v>9</v>
      </c>
      <c r="G29" s="26" t="s">
        <v>21</v>
      </c>
    </row>
    <row r="30" spans="1:7" x14ac:dyDescent="0.25">
      <c r="A30" s="93">
        <v>20</v>
      </c>
      <c r="B30" s="84" t="s">
        <v>393</v>
      </c>
      <c r="C30" s="93">
        <v>66253945791</v>
      </c>
      <c r="D30" s="84" t="s">
        <v>50</v>
      </c>
      <c r="E30" s="16">
        <v>121855.37</v>
      </c>
      <c r="F30" s="95" t="s">
        <v>9</v>
      </c>
      <c r="G30" s="28" t="s">
        <v>41</v>
      </c>
    </row>
    <row r="31" spans="1:7" ht="15.75" thickBot="1" x14ac:dyDescent="0.3">
      <c r="A31" s="94"/>
      <c r="B31" s="85"/>
      <c r="C31" s="94"/>
      <c r="D31" s="85"/>
      <c r="E31" s="18">
        <v>750.27</v>
      </c>
      <c r="F31" s="96"/>
      <c r="G31" s="29" t="s">
        <v>21</v>
      </c>
    </row>
    <row r="32" spans="1:7" x14ac:dyDescent="0.25">
      <c r="A32" s="34">
        <v>21</v>
      </c>
      <c r="B32" s="5" t="s">
        <v>273</v>
      </c>
      <c r="C32" s="11">
        <v>52641439848</v>
      </c>
      <c r="D32" s="5" t="s">
        <v>274</v>
      </c>
      <c r="E32" s="8">
        <v>110.06</v>
      </c>
      <c r="F32" s="5" t="s">
        <v>9</v>
      </c>
      <c r="G32" s="2" t="s">
        <v>21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3118.72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503</v>
      </c>
      <c r="C34" s="11">
        <v>27712717103</v>
      </c>
      <c r="D34" s="5" t="s">
        <v>504</v>
      </c>
      <c r="E34" s="8">
        <f>11711.26+11711.26+5855.63+5855.63</f>
        <v>35133.78</v>
      </c>
      <c r="F34" s="40" t="s">
        <v>9</v>
      </c>
      <c r="G34" s="2" t="s">
        <v>116</v>
      </c>
    </row>
    <row r="35" spans="1:7" x14ac:dyDescent="0.25">
      <c r="A35" s="33">
        <v>24</v>
      </c>
      <c r="B35" s="19" t="s">
        <v>440</v>
      </c>
      <c r="C35" s="33">
        <v>44270699963</v>
      </c>
      <c r="D35" s="19" t="s">
        <v>441</v>
      </c>
      <c r="E35" s="15">
        <v>38.24</v>
      </c>
      <c r="F35" s="19" t="s">
        <v>9</v>
      </c>
      <c r="G35" s="26" t="s">
        <v>84</v>
      </c>
    </row>
    <row r="36" spans="1:7" ht="15.75" thickBot="1" x14ac:dyDescent="0.3">
      <c r="A36" s="71">
        <v>25</v>
      </c>
      <c r="B36" s="70" t="s">
        <v>55</v>
      </c>
      <c r="C36" s="71">
        <v>11471889269</v>
      </c>
      <c r="D36" s="70" t="s">
        <v>56</v>
      </c>
      <c r="E36" s="18">
        <v>23561.69</v>
      </c>
      <c r="F36" s="70" t="s">
        <v>9</v>
      </c>
      <c r="G36" s="29" t="s">
        <v>21</v>
      </c>
    </row>
    <row r="37" spans="1:7" x14ac:dyDescent="0.25">
      <c r="A37" s="74">
        <v>26</v>
      </c>
      <c r="B37" s="76" t="s">
        <v>57</v>
      </c>
      <c r="C37" s="74">
        <v>27759560625</v>
      </c>
      <c r="D37" s="76" t="s">
        <v>59</v>
      </c>
      <c r="E37" s="16">
        <f>92.05+5993.93</f>
        <v>6085.9800000000005</v>
      </c>
      <c r="F37" s="76" t="s">
        <v>9</v>
      </c>
      <c r="G37" s="28" t="s">
        <v>58</v>
      </c>
    </row>
    <row r="38" spans="1:7" ht="15.75" thickBot="1" x14ac:dyDescent="0.3">
      <c r="A38" s="75"/>
      <c r="B38" s="77"/>
      <c r="C38" s="75"/>
      <c r="D38" s="77"/>
      <c r="E38" s="18">
        <f>828.99+1261.23</f>
        <v>2090.2200000000003</v>
      </c>
      <c r="F38" s="77"/>
      <c r="G38" s="29" t="s">
        <v>21</v>
      </c>
    </row>
    <row r="39" spans="1:7" x14ac:dyDescent="0.25">
      <c r="A39" s="64">
        <v>27</v>
      </c>
      <c r="B39" s="65" t="s">
        <v>456</v>
      </c>
      <c r="C39" s="64">
        <v>91367259285</v>
      </c>
      <c r="D39" s="65" t="s">
        <v>457</v>
      </c>
      <c r="E39" s="67">
        <f>799.6</f>
        <v>799.6</v>
      </c>
      <c r="F39" s="65" t="s">
        <v>9</v>
      </c>
      <c r="G39" s="68" t="s">
        <v>116</v>
      </c>
    </row>
    <row r="40" spans="1:7" x14ac:dyDescent="0.25">
      <c r="A40" s="11">
        <v>28</v>
      </c>
      <c r="B40" s="5" t="s">
        <v>1145</v>
      </c>
      <c r="C40" s="11" t="s">
        <v>1146</v>
      </c>
      <c r="D40" s="5" t="s">
        <v>1147</v>
      </c>
      <c r="E40" s="8">
        <v>8534.2000000000007</v>
      </c>
      <c r="F40" s="5" t="s">
        <v>9</v>
      </c>
      <c r="G40" s="2" t="s">
        <v>21</v>
      </c>
    </row>
    <row r="41" spans="1:7" x14ac:dyDescent="0.25">
      <c r="A41" s="11">
        <v>29</v>
      </c>
      <c r="B41" s="5" t="s">
        <v>1555</v>
      </c>
      <c r="C41" s="12">
        <v>43699365561</v>
      </c>
      <c r="D41" s="5" t="s">
        <v>1556</v>
      </c>
      <c r="E41" s="8">
        <f>414</f>
        <v>414</v>
      </c>
      <c r="F41" s="5" t="s">
        <v>9</v>
      </c>
      <c r="G41" s="2" t="s">
        <v>116</v>
      </c>
    </row>
    <row r="42" spans="1:7" x14ac:dyDescent="0.25">
      <c r="A42" s="11">
        <v>30</v>
      </c>
      <c r="B42" s="5" t="s">
        <v>126</v>
      </c>
      <c r="C42" s="11">
        <v>62534176727</v>
      </c>
      <c r="D42" s="5" t="s">
        <v>163</v>
      </c>
      <c r="E42" s="8">
        <f>10147.9+12582.5+5029.88+1845</f>
        <v>29605.280000000002</v>
      </c>
      <c r="F42" s="5" t="s">
        <v>9</v>
      </c>
      <c r="G42" s="2" t="s">
        <v>21</v>
      </c>
    </row>
    <row r="43" spans="1:7" x14ac:dyDescent="0.25">
      <c r="A43" s="11">
        <v>31</v>
      </c>
      <c r="B43" s="5" t="s">
        <v>72</v>
      </c>
      <c r="C43" s="11" t="s">
        <v>15</v>
      </c>
      <c r="D43" s="5" t="s">
        <v>15</v>
      </c>
      <c r="E43" s="8">
        <v>310.24</v>
      </c>
      <c r="F43" s="5" t="s">
        <v>9</v>
      </c>
      <c r="G43" s="2" t="s">
        <v>71</v>
      </c>
    </row>
    <row r="44" spans="1:7" x14ac:dyDescent="0.25">
      <c r="A44" s="11">
        <v>32</v>
      </c>
      <c r="B44" s="5" t="s">
        <v>15</v>
      </c>
      <c r="C44" s="11" t="s">
        <v>15</v>
      </c>
      <c r="D44" s="5" t="s">
        <v>15</v>
      </c>
      <c r="E44" s="8">
        <v>4680</v>
      </c>
      <c r="F44" s="5" t="s">
        <v>9</v>
      </c>
      <c r="G44" s="2" t="s">
        <v>73</v>
      </c>
    </row>
    <row r="45" spans="1:7" x14ac:dyDescent="0.25">
      <c r="A45" s="11">
        <v>33</v>
      </c>
      <c r="B45" s="5" t="s">
        <v>422</v>
      </c>
      <c r="C45" s="11">
        <v>33813961569</v>
      </c>
      <c r="D45" s="5" t="s">
        <v>423</v>
      </c>
      <c r="E45" s="8">
        <f>194.18+46.39</f>
        <v>240.57</v>
      </c>
      <c r="F45" s="5" t="s">
        <v>9</v>
      </c>
      <c r="G45" s="2" t="s">
        <v>84</v>
      </c>
    </row>
    <row r="46" spans="1:7" x14ac:dyDescent="0.25">
      <c r="A46" s="11">
        <v>34</v>
      </c>
      <c r="B46" s="5" t="s">
        <v>81</v>
      </c>
      <c r="C46" s="11">
        <v>32179081874</v>
      </c>
      <c r="D46" s="5" t="s">
        <v>82</v>
      </c>
      <c r="E46" s="15">
        <f>80.71+31.39+212+39.14+566.51</f>
        <v>929.75</v>
      </c>
      <c r="F46" s="19" t="s">
        <v>9</v>
      </c>
      <c r="G46" s="26" t="s">
        <v>80</v>
      </c>
    </row>
    <row r="47" spans="1:7" ht="15.75" thickBot="1" x14ac:dyDescent="0.3">
      <c r="A47" s="11">
        <v>35</v>
      </c>
      <c r="B47" s="21" t="s">
        <v>85</v>
      </c>
      <c r="C47" s="22">
        <v>76173743169</v>
      </c>
      <c r="D47" s="21" t="s">
        <v>83</v>
      </c>
      <c r="E47" s="8">
        <f>861.78+33.18</f>
        <v>894.95999999999992</v>
      </c>
      <c r="F47" s="21" t="s">
        <v>9</v>
      </c>
      <c r="G47" s="2" t="s">
        <v>80</v>
      </c>
    </row>
    <row r="48" spans="1:7" x14ac:dyDescent="0.25">
      <c r="A48" s="74">
        <v>36</v>
      </c>
      <c r="B48" s="76" t="s">
        <v>91</v>
      </c>
      <c r="C48" s="74">
        <v>34976993601</v>
      </c>
      <c r="D48" s="76" t="s">
        <v>92</v>
      </c>
      <c r="E48" s="16">
        <f>520.37+270.39</f>
        <v>790.76</v>
      </c>
      <c r="F48" s="76" t="s">
        <v>9</v>
      </c>
      <c r="G48" s="28" t="s">
        <v>90</v>
      </c>
    </row>
    <row r="49" spans="1:7" ht="15.75" thickBot="1" x14ac:dyDescent="0.3">
      <c r="A49" s="75"/>
      <c r="B49" s="77"/>
      <c r="C49" s="75"/>
      <c r="D49" s="77"/>
      <c r="E49" s="18">
        <f>203.68+280.29</f>
        <v>483.97</v>
      </c>
      <c r="F49" s="77"/>
      <c r="G49" s="29" t="s">
        <v>211</v>
      </c>
    </row>
    <row r="50" spans="1:7" x14ac:dyDescent="0.25">
      <c r="A50" s="34">
        <v>37</v>
      </c>
      <c r="B50" s="30" t="s">
        <v>15</v>
      </c>
      <c r="C50" s="34" t="s">
        <v>15</v>
      </c>
      <c r="D50" s="30" t="s">
        <v>15</v>
      </c>
      <c r="E50" s="17">
        <v>1744.91</v>
      </c>
      <c r="F50" s="30" t="s">
        <v>9</v>
      </c>
      <c r="G50" s="31" t="s">
        <v>93</v>
      </c>
    </row>
    <row r="51" spans="1:7" x14ac:dyDescent="0.25">
      <c r="A51" s="11">
        <v>38</v>
      </c>
      <c r="B51" s="5" t="s">
        <v>15</v>
      </c>
      <c r="C51" s="11" t="s">
        <v>15</v>
      </c>
      <c r="D51" s="5" t="s">
        <v>15</v>
      </c>
      <c r="E51" s="8">
        <v>47761.41</v>
      </c>
      <c r="F51" s="5" t="s">
        <v>9</v>
      </c>
      <c r="G51" s="2" t="s">
        <v>94</v>
      </c>
    </row>
    <row r="52" spans="1:7" x14ac:dyDescent="0.25">
      <c r="A52" s="11">
        <v>39</v>
      </c>
      <c r="B52" s="5" t="s">
        <v>1489</v>
      </c>
      <c r="C52" s="11">
        <v>74956515628</v>
      </c>
      <c r="D52" s="5" t="s">
        <v>1490</v>
      </c>
      <c r="E52" s="8">
        <v>5000</v>
      </c>
      <c r="F52" s="5" t="s">
        <v>9</v>
      </c>
      <c r="G52" s="2" t="s">
        <v>21</v>
      </c>
    </row>
    <row r="53" spans="1:7" x14ac:dyDescent="0.25">
      <c r="A53" s="11">
        <v>40</v>
      </c>
      <c r="B53" s="21" t="s">
        <v>103</v>
      </c>
      <c r="C53" s="22">
        <v>81793146560</v>
      </c>
      <c r="D53" s="21" t="s">
        <v>104</v>
      </c>
      <c r="E53" s="8">
        <f>16.8+2266.16</f>
        <v>2282.96</v>
      </c>
      <c r="F53" s="5" t="s">
        <v>9</v>
      </c>
      <c r="G53" s="2" t="s">
        <v>212</v>
      </c>
    </row>
    <row r="54" spans="1:7" x14ac:dyDescent="0.25">
      <c r="A54" s="11">
        <v>41</v>
      </c>
      <c r="B54" s="5" t="s">
        <v>315</v>
      </c>
      <c r="C54" s="11" t="s">
        <v>15</v>
      </c>
      <c r="D54" s="5" t="s">
        <v>15</v>
      </c>
      <c r="E54" s="8">
        <v>200</v>
      </c>
      <c r="F54" s="5" t="s">
        <v>9</v>
      </c>
      <c r="G54" s="2" t="s">
        <v>135</v>
      </c>
    </row>
    <row r="55" spans="1:7" x14ac:dyDescent="0.25">
      <c r="A55" s="11">
        <v>42</v>
      </c>
      <c r="B55" s="5" t="s">
        <v>364</v>
      </c>
      <c r="C55" s="11">
        <v>56717147376</v>
      </c>
      <c r="D55" s="5" t="s">
        <v>365</v>
      </c>
      <c r="E55" s="8">
        <f>782</f>
        <v>782</v>
      </c>
      <c r="F55" s="5" t="s">
        <v>9</v>
      </c>
      <c r="G55" s="2" t="s">
        <v>21</v>
      </c>
    </row>
    <row r="56" spans="1:7" x14ac:dyDescent="0.25">
      <c r="A56" s="11">
        <v>43</v>
      </c>
      <c r="B56" s="5" t="s">
        <v>108</v>
      </c>
      <c r="C56" s="11">
        <v>46163832762</v>
      </c>
      <c r="D56" s="5" t="s">
        <v>151</v>
      </c>
      <c r="E56" s="8">
        <f>259.73+179.01</f>
        <v>438.74</v>
      </c>
      <c r="F56" s="5" t="s">
        <v>9</v>
      </c>
      <c r="G56" s="2" t="s">
        <v>84</v>
      </c>
    </row>
    <row r="57" spans="1:7" x14ac:dyDescent="0.25">
      <c r="A57" s="11">
        <v>44</v>
      </c>
      <c r="B57" s="5" t="s">
        <v>110</v>
      </c>
      <c r="C57" s="11">
        <v>41412434130</v>
      </c>
      <c r="D57" s="5" t="s">
        <v>147</v>
      </c>
      <c r="E57" s="8">
        <v>242.55</v>
      </c>
      <c r="F57" s="5" t="s">
        <v>9</v>
      </c>
      <c r="G57" s="2" t="s">
        <v>84</v>
      </c>
    </row>
    <row r="58" spans="1:7" x14ac:dyDescent="0.25">
      <c r="A58" s="11">
        <v>45</v>
      </c>
      <c r="B58" s="5" t="s">
        <v>929</v>
      </c>
      <c r="C58" s="11">
        <v>41317489366</v>
      </c>
      <c r="D58" s="5" t="s">
        <v>930</v>
      </c>
      <c r="E58" s="8">
        <v>2.8</v>
      </c>
      <c r="F58" s="5" t="s">
        <v>9</v>
      </c>
      <c r="G58" s="2" t="s">
        <v>195</v>
      </c>
    </row>
    <row r="59" spans="1:7" x14ac:dyDescent="0.25">
      <c r="A59" s="11">
        <v>46</v>
      </c>
      <c r="B59" s="5" t="s">
        <v>112</v>
      </c>
      <c r="C59" s="12" t="s">
        <v>152</v>
      </c>
      <c r="D59" s="5" t="s">
        <v>153</v>
      </c>
      <c r="E59" s="8">
        <v>193.88</v>
      </c>
      <c r="F59" s="5" t="s">
        <v>9</v>
      </c>
      <c r="G59" s="2" t="s">
        <v>84</v>
      </c>
    </row>
    <row r="60" spans="1:7" ht="15.75" thickBot="1" x14ac:dyDescent="0.3">
      <c r="A60" s="11">
        <v>47</v>
      </c>
      <c r="B60" s="19" t="s">
        <v>113</v>
      </c>
      <c r="C60" s="33">
        <v>85584865987</v>
      </c>
      <c r="D60" s="19" t="s">
        <v>154</v>
      </c>
      <c r="E60" s="15">
        <v>1487.94</v>
      </c>
      <c r="F60" s="19" t="s">
        <v>9</v>
      </c>
      <c r="G60" s="26" t="s">
        <v>84</v>
      </c>
    </row>
    <row r="61" spans="1:7" x14ac:dyDescent="0.25">
      <c r="A61" s="74">
        <v>48</v>
      </c>
      <c r="B61" s="76" t="s">
        <v>114</v>
      </c>
      <c r="C61" s="74" t="s">
        <v>432</v>
      </c>
      <c r="D61" s="88" t="s">
        <v>432</v>
      </c>
      <c r="E61" s="16">
        <v>7339.2</v>
      </c>
      <c r="F61" s="76" t="s">
        <v>9</v>
      </c>
      <c r="G61" s="28" t="s">
        <v>1557</v>
      </c>
    </row>
    <row r="62" spans="1:7" ht="15.75" thickBot="1" x14ac:dyDescent="0.3">
      <c r="A62" s="75"/>
      <c r="B62" s="77"/>
      <c r="C62" s="75"/>
      <c r="D62" s="92"/>
      <c r="E62" s="18">
        <v>1940</v>
      </c>
      <c r="F62" s="77"/>
      <c r="G62" s="29" t="s">
        <v>115</v>
      </c>
    </row>
    <row r="63" spans="1:7" x14ac:dyDescent="0.25">
      <c r="A63" s="24">
        <v>49</v>
      </c>
      <c r="B63" s="42" t="s">
        <v>481</v>
      </c>
      <c r="C63" s="24">
        <v>11374156664</v>
      </c>
      <c r="D63" s="42" t="s">
        <v>482</v>
      </c>
      <c r="E63" s="17">
        <f>69.86+123.88</f>
        <v>193.74</v>
      </c>
      <c r="F63" s="43" t="s">
        <v>9</v>
      </c>
      <c r="G63" s="31" t="s">
        <v>21</v>
      </c>
    </row>
    <row r="64" spans="1:7" x14ac:dyDescent="0.25">
      <c r="A64" s="11">
        <v>50</v>
      </c>
      <c r="B64" s="5" t="s">
        <v>291</v>
      </c>
      <c r="C64" s="11">
        <v>38411868043</v>
      </c>
      <c r="D64" s="5" t="s">
        <v>292</v>
      </c>
      <c r="E64" s="8">
        <f>5402.23+17375</f>
        <v>22777.23</v>
      </c>
      <c r="F64" s="5" t="s">
        <v>9</v>
      </c>
      <c r="G64" s="2" t="s">
        <v>21</v>
      </c>
    </row>
    <row r="65" spans="1:7" x14ac:dyDescent="0.25">
      <c r="A65" s="11">
        <v>51</v>
      </c>
      <c r="B65" s="5" t="s">
        <v>879</v>
      </c>
      <c r="C65" s="11">
        <v>55175013491</v>
      </c>
      <c r="D65" s="5" t="s">
        <v>880</v>
      </c>
      <c r="E65" s="8">
        <f>533.65+2853+266.2+245.06+12492+11034.6</f>
        <v>27424.510000000002</v>
      </c>
      <c r="F65" s="5" t="s">
        <v>9</v>
      </c>
      <c r="G65" s="2" t="s">
        <v>21</v>
      </c>
    </row>
    <row r="66" spans="1:7" x14ac:dyDescent="0.25">
      <c r="A66" s="11">
        <v>52</v>
      </c>
      <c r="B66" s="5" t="s">
        <v>260</v>
      </c>
      <c r="C66" s="11">
        <v>42769559951</v>
      </c>
      <c r="D66" s="5" t="s">
        <v>261</v>
      </c>
      <c r="E66" s="8">
        <f>7000+3484.85+2526.5</f>
        <v>13011.35</v>
      </c>
      <c r="F66" s="5" t="s">
        <v>9</v>
      </c>
      <c r="G66" s="2" t="s">
        <v>21</v>
      </c>
    </row>
    <row r="67" spans="1:7" x14ac:dyDescent="0.25">
      <c r="A67" s="11">
        <v>53</v>
      </c>
      <c r="B67" s="5" t="s">
        <v>993</v>
      </c>
      <c r="C67" s="11">
        <v>29035933600</v>
      </c>
      <c r="D67" s="5" t="s">
        <v>317</v>
      </c>
      <c r="E67" s="8">
        <v>33.659999999999997</v>
      </c>
      <c r="F67" s="5" t="s">
        <v>9</v>
      </c>
      <c r="G67" s="2" t="s">
        <v>195</v>
      </c>
    </row>
    <row r="68" spans="1:7" x14ac:dyDescent="0.25">
      <c r="A68" s="11">
        <v>54</v>
      </c>
      <c r="B68" s="5" t="s">
        <v>120</v>
      </c>
      <c r="C68" s="11" t="s">
        <v>159</v>
      </c>
      <c r="D68" s="5" t="s">
        <v>121</v>
      </c>
      <c r="E68" s="8">
        <f>4095.6+20292.4+10000+5460.96</f>
        <v>39848.959999999999</v>
      </c>
      <c r="F68" s="5" t="s">
        <v>9</v>
      </c>
      <c r="G68" s="2" t="s">
        <v>21</v>
      </c>
    </row>
    <row r="69" spans="1:7" x14ac:dyDescent="0.25">
      <c r="A69" s="11">
        <v>55</v>
      </c>
      <c r="B69" s="5" t="s">
        <v>1444</v>
      </c>
      <c r="C69" s="11">
        <v>42363414238</v>
      </c>
      <c r="D69" s="5" t="s">
        <v>1445</v>
      </c>
      <c r="E69" s="8">
        <f>3539.8</f>
        <v>3539.8</v>
      </c>
      <c r="F69" s="5" t="s">
        <v>9</v>
      </c>
      <c r="G69" s="2" t="s">
        <v>1289</v>
      </c>
    </row>
    <row r="70" spans="1:7" x14ac:dyDescent="0.25">
      <c r="A70" s="11">
        <v>56</v>
      </c>
      <c r="B70" s="5" t="s">
        <v>215</v>
      </c>
      <c r="C70" s="11">
        <v>83416546499</v>
      </c>
      <c r="D70" s="5" t="s">
        <v>218</v>
      </c>
      <c r="E70" s="8">
        <v>54.92</v>
      </c>
      <c r="F70" s="5" t="s">
        <v>9</v>
      </c>
      <c r="G70" s="2" t="s">
        <v>47</v>
      </c>
    </row>
    <row r="71" spans="1:7" x14ac:dyDescent="0.25">
      <c r="A71" s="11">
        <v>57</v>
      </c>
      <c r="B71" s="19" t="s">
        <v>293</v>
      </c>
      <c r="C71" s="33">
        <v>89027343720</v>
      </c>
      <c r="D71" s="19" t="s">
        <v>294</v>
      </c>
      <c r="E71" s="15">
        <f>1871.58+1026.23</f>
        <v>2897.81</v>
      </c>
      <c r="F71" s="19" t="s">
        <v>9</v>
      </c>
      <c r="G71" s="26" t="s">
        <v>21</v>
      </c>
    </row>
    <row r="72" spans="1:7" ht="15.75" thickBot="1" x14ac:dyDescent="0.3">
      <c r="A72" s="11">
        <v>58</v>
      </c>
      <c r="B72" s="70" t="s">
        <v>129</v>
      </c>
      <c r="C72" s="71">
        <v>52233171260</v>
      </c>
      <c r="D72" s="70" t="s">
        <v>165</v>
      </c>
      <c r="E72" s="18">
        <v>4875</v>
      </c>
      <c r="F72" s="70" t="s">
        <v>9</v>
      </c>
      <c r="G72" s="29" t="s">
        <v>21</v>
      </c>
    </row>
    <row r="73" spans="1:7" x14ac:dyDescent="0.25">
      <c r="A73" s="93">
        <v>59</v>
      </c>
      <c r="B73" s="84" t="s">
        <v>127</v>
      </c>
      <c r="C73" s="93">
        <v>87682591133</v>
      </c>
      <c r="D73" s="84" t="s">
        <v>164</v>
      </c>
      <c r="E73" s="16">
        <f>15823.5+9398.29+2089.23</f>
        <v>27311.02</v>
      </c>
      <c r="F73" s="84" t="s">
        <v>9</v>
      </c>
      <c r="G73" s="28" t="s">
        <v>21</v>
      </c>
    </row>
    <row r="74" spans="1:7" ht="15.75" thickBot="1" x14ac:dyDescent="0.3">
      <c r="A74" s="94"/>
      <c r="B74" s="85"/>
      <c r="C74" s="94"/>
      <c r="D74" s="85"/>
      <c r="E74" s="18">
        <v>1029.5999999999999</v>
      </c>
      <c r="F74" s="85"/>
      <c r="G74" s="29" t="s">
        <v>101</v>
      </c>
    </row>
    <row r="75" spans="1:7" x14ac:dyDescent="0.25">
      <c r="A75" s="34">
        <v>60</v>
      </c>
      <c r="B75" s="42" t="s">
        <v>128</v>
      </c>
      <c r="C75" s="34">
        <v>19849957757</v>
      </c>
      <c r="D75" s="42" t="s">
        <v>166</v>
      </c>
      <c r="E75" s="17">
        <f>22.75+40000+19519.84+10804.98</f>
        <v>70347.569999999992</v>
      </c>
      <c r="F75" s="42" t="s">
        <v>9</v>
      </c>
      <c r="G75" s="31" t="s">
        <v>21</v>
      </c>
    </row>
    <row r="76" spans="1:7" x14ac:dyDescent="0.25">
      <c r="A76" s="11">
        <v>61</v>
      </c>
      <c r="B76" s="5" t="s">
        <v>426</v>
      </c>
      <c r="C76" s="11">
        <v>85821130368</v>
      </c>
      <c r="D76" s="5" t="s">
        <v>427</v>
      </c>
      <c r="E76" s="8">
        <v>16.600000000000001</v>
      </c>
      <c r="F76" s="25" t="s">
        <v>9</v>
      </c>
      <c r="G76" s="2" t="s">
        <v>132</v>
      </c>
    </row>
    <row r="77" spans="1:7" x14ac:dyDescent="0.25">
      <c r="A77" s="11">
        <v>62</v>
      </c>
      <c r="B77" s="5" t="s">
        <v>118</v>
      </c>
      <c r="C77" s="11">
        <v>33001753417</v>
      </c>
      <c r="D77" s="5" t="s">
        <v>157</v>
      </c>
      <c r="E77" s="8">
        <f>1615+517.25+7236.25+1460+367.5</f>
        <v>11196</v>
      </c>
      <c r="F77" s="5" t="s">
        <v>9</v>
      </c>
      <c r="G77" s="2" t="s">
        <v>21</v>
      </c>
    </row>
    <row r="78" spans="1:7" x14ac:dyDescent="0.25">
      <c r="A78" s="11">
        <v>63</v>
      </c>
      <c r="B78" s="5" t="s">
        <v>202</v>
      </c>
      <c r="C78" s="11">
        <v>31174430130</v>
      </c>
      <c r="D78" s="5" t="s">
        <v>203</v>
      </c>
      <c r="E78" s="8">
        <f>370.21+298.86</f>
        <v>669.06999999999994</v>
      </c>
      <c r="F78" s="5" t="s">
        <v>9</v>
      </c>
      <c r="G78" s="2" t="s">
        <v>84</v>
      </c>
    </row>
    <row r="79" spans="1:7" x14ac:dyDescent="0.25">
      <c r="A79" s="11">
        <v>64</v>
      </c>
      <c r="B79" s="5" t="s">
        <v>15</v>
      </c>
      <c r="C79" s="11" t="s">
        <v>15</v>
      </c>
      <c r="D79" s="5" t="s">
        <v>15</v>
      </c>
      <c r="E79" s="8">
        <f>181.01+108.12</f>
        <v>289.13</v>
      </c>
      <c r="F79" s="5" t="s">
        <v>9</v>
      </c>
      <c r="G79" s="2" t="s">
        <v>1061</v>
      </c>
    </row>
    <row r="80" spans="1:7" x14ac:dyDescent="0.25">
      <c r="A80" s="11">
        <v>65</v>
      </c>
      <c r="B80" s="19" t="s">
        <v>15</v>
      </c>
      <c r="C80" s="33" t="s">
        <v>15</v>
      </c>
      <c r="D80" s="19" t="s">
        <v>15</v>
      </c>
      <c r="E80" s="15">
        <f>300+3849.1+600</f>
        <v>4749.1000000000004</v>
      </c>
      <c r="F80" s="19" t="s">
        <v>9</v>
      </c>
      <c r="G80" s="26" t="s">
        <v>134</v>
      </c>
    </row>
    <row r="81" spans="1:7" x14ac:dyDescent="0.25">
      <c r="A81" s="11">
        <v>66</v>
      </c>
      <c r="B81" s="5" t="s">
        <v>139</v>
      </c>
      <c r="C81" s="11">
        <v>22694857747</v>
      </c>
      <c r="D81" s="5" t="s">
        <v>174</v>
      </c>
      <c r="E81" s="8">
        <v>824.6</v>
      </c>
      <c r="F81" s="5" t="s">
        <v>9</v>
      </c>
      <c r="G81" s="2" t="s">
        <v>140</v>
      </c>
    </row>
    <row r="82" spans="1:7" x14ac:dyDescent="0.25">
      <c r="A82" s="11">
        <v>67</v>
      </c>
      <c r="B82" s="5" t="s">
        <v>420</v>
      </c>
      <c r="C82" s="11">
        <v>11294943436</v>
      </c>
      <c r="D82" s="5" t="s">
        <v>421</v>
      </c>
      <c r="E82" s="8">
        <f>84.64+76.53</f>
        <v>161.17000000000002</v>
      </c>
      <c r="F82" s="5" t="s">
        <v>9</v>
      </c>
      <c r="G82" s="2" t="s">
        <v>84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v>410.22</v>
      </c>
      <c r="F83" s="5" t="s">
        <v>9</v>
      </c>
      <c r="G83" s="2" t="s">
        <v>146</v>
      </c>
    </row>
    <row r="84" spans="1:7" ht="15.75" thickBot="1" x14ac:dyDescent="0.3">
      <c r="A84" s="11">
        <v>69</v>
      </c>
      <c r="B84" s="19" t="s">
        <v>177</v>
      </c>
      <c r="C84" s="33">
        <v>49800593791</v>
      </c>
      <c r="D84" s="19" t="s">
        <v>179</v>
      </c>
      <c r="E84" s="15">
        <f>2842.21+2000+2094.06+1066.92+409.53+6405.71+751.47+2030.97</f>
        <v>17600.87</v>
      </c>
      <c r="F84" s="19" t="s">
        <v>9</v>
      </c>
      <c r="G84" s="26" t="s">
        <v>1289</v>
      </c>
    </row>
    <row r="85" spans="1:7" x14ac:dyDescent="0.25">
      <c r="A85" s="74">
        <v>70</v>
      </c>
      <c r="B85" s="76" t="s">
        <v>182</v>
      </c>
      <c r="C85" s="74">
        <v>47428597158</v>
      </c>
      <c r="D85" s="76" t="s">
        <v>184</v>
      </c>
      <c r="E85" s="16">
        <f>580.7+488.9</f>
        <v>1069.5999999999999</v>
      </c>
      <c r="F85" s="76" t="s">
        <v>9</v>
      </c>
      <c r="G85" s="28" t="s">
        <v>703</v>
      </c>
    </row>
    <row r="86" spans="1:7" ht="15.75" thickBot="1" x14ac:dyDescent="0.3">
      <c r="A86" s="75"/>
      <c r="B86" s="77"/>
      <c r="C86" s="75"/>
      <c r="D86" s="77"/>
      <c r="E86" s="18">
        <f>3555</f>
        <v>3555</v>
      </c>
      <c r="F86" s="77"/>
      <c r="G86" s="29" t="s">
        <v>21</v>
      </c>
    </row>
    <row r="87" spans="1:7" x14ac:dyDescent="0.25">
      <c r="A87" s="34">
        <v>71</v>
      </c>
      <c r="B87" s="30" t="s">
        <v>186</v>
      </c>
      <c r="C87" s="38" t="s">
        <v>188</v>
      </c>
      <c r="D87" s="30" t="s">
        <v>187</v>
      </c>
      <c r="E87" s="17">
        <f>394.98+592.54</f>
        <v>987.52</v>
      </c>
      <c r="F87" s="30" t="s">
        <v>9</v>
      </c>
      <c r="G87" s="31" t="s">
        <v>84</v>
      </c>
    </row>
    <row r="88" spans="1:7" x14ac:dyDescent="0.25">
      <c r="A88" s="11">
        <v>72</v>
      </c>
      <c r="B88" s="19" t="s">
        <v>826</v>
      </c>
      <c r="C88" s="39">
        <v>26941634270</v>
      </c>
      <c r="D88" s="19" t="s">
        <v>827</v>
      </c>
      <c r="E88" s="8">
        <f>2000</f>
        <v>2000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513</v>
      </c>
      <c r="C89" s="11">
        <v>73294314024</v>
      </c>
      <c r="D89" s="5" t="s">
        <v>402</v>
      </c>
      <c r="E89" s="8">
        <f>806.64+913.89</f>
        <v>1720.53</v>
      </c>
      <c r="F89" s="5" t="s">
        <v>9</v>
      </c>
      <c r="G89" s="2" t="s">
        <v>401</v>
      </c>
    </row>
    <row r="90" spans="1:7" x14ac:dyDescent="0.25">
      <c r="A90" s="11">
        <v>74</v>
      </c>
      <c r="B90" s="5" t="s">
        <v>729</v>
      </c>
      <c r="C90" s="11">
        <v>38812451417</v>
      </c>
      <c r="D90" s="5" t="s">
        <v>730</v>
      </c>
      <c r="E90" s="8">
        <f>748.26+354.9</f>
        <v>1103.1599999999999</v>
      </c>
      <c r="F90" s="5" t="s">
        <v>9</v>
      </c>
      <c r="G90" s="2" t="s">
        <v>84</v>
      </c>
    </row>
    <row r="91" spans="1:7" x14ac:dyDescent="0.25">
      <c r="A91" s="11">
        <v>75</v>
      </c>
      <c r="B91" s="5" t="s">
        <v>197</v>
      </c>
      <c r="C91" s="11">
        <v>63988426425</v>
      </c>
      <c r="D91" s="5" t="s">
        <v>198</v>
      </c>
      <c r="E91" s="8">
        <f>5723.88+5496.56+5417.75+6894.63+31.3+19420.32</f>
        <v>42984.44</v>
      </c>
      <c r="F91" s="5" t="s">
        <v>9</v>
      </c>
      <c r="G91" s="2" t="s">
        <v>21</v>
      </c>
    </row>
    <row r="92" spans="1:7" x14ac:dyDescent="0.25">
      <c r="A92" s="11">
        <v>76</v>
      </c>
      <c r="B92" s="21" t="s">
        <v>102</v>
      </c>
      <c r="C92" s="22">
        <v>70133616033</v>
      </c>
      <c r="D92" s="21" t="s">
        <v>105</v>
      </c>
      <c r="E92" s="8">
        <v>2171.0700000000002</v>
      </c>
      <c r="F92" s="5" t="s">
        <v>9</v>
      </c>
      <c r="G92" s="2" t="s">
        <v>212</v>
      </c>
    </row>
    <row r="93" spans="1:7" x14ac:dyDescent="0.25">
      <c r="A93" s="11">
        <v>77</v>
      </c>
      <c r="B93" s="61" t="s">
        <v>213</v>
      </c>
      <c r="C93" s="41">
        <v>65952859647</v>
      </c>
      <c r="D93" s="40" t="s">
        <v>214</v>
      </c>
      <c r="E93" s="8">
        <f>39115+14595</f>
        <v>53710</v>
      </c>
      <c r="F93" s="61" t="s">
        <v>9</v>
      </c>
      <c r="G93" s="2" t="s">
        <v>21</v>
      </c>
    </row>
    <row r="94" spans="1:7" x14ac:dyDescent="0.25">
      <c r="A94" s="11">
        <v>78</v>
      </c>
      <c r="B94" s="5" t="s">
        <v>208</v>
      </c>
      <c r="C94" s="11">
        <v>10235187780</v>
      </c>
      <c r="D94" s="5" t="s">
        <v>210</v>
      </c>
      <c r="E94" s="8">
        <f>354.3+354.3</f>
        <v>708.6</v>
      </c>
      <c r="F94" s="5" t="s">
        <v>9</v>
      </c>
      <c r="G94" s="2" t="s">
        <v>209</v>
      </c>
    </row>
    <row r="95" spans="1:7" x14ac:dyDescent="0.25">
      <c r="A95" s="11">
        <v>79</v>
      </c>
      <c r="B95" s="5" t="s">
        <v>219</v>
      </c>
      <c r="C95" s="11">
        <v>60314119747</v>
      </c>
      <c r="D95" s="5" t="s">
        <v>217</v>
      </c>
      <c r="E95" s="8">
        <v>43184.93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61</v>
      </c>
      <c r="C96" s="11">
        <v>68419124305</v>
      </c>
      <c r="D96" s="5" t="s">
        <v>62</v>
      </c>
      <c r="E96" s="8">
        <v>106.2</v>
      </c>
      <c r="F96" s="5" t="s">
        <v>9</v>
      </c>
      <c r="G96" s="2" t="s">
        <v>60</v>
      </c>
    </row>
    <row r="97" spans="1:7" x14ac:dyDescent="0.25">
      <c r="A97" s="11">
        <v>81</v>
      </c>
      <c r="B97" s="5" t="s">
        <v>226</v>
      </c>
      <c r="C97" s="12" t="s">
        <v>228</v>
      </c>
      <c r="D97" s="5" t="s">
        <v>227</v>
      </c>
      <c r="E97" s="8">
        <f>1425+5535+2062.5+3000</f>
        <v>12022.5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229</v>
      </c>
      <c r="C98" s="11">
        <v>95243482140</v>
      </c>
      <c r="D98" s="5" t="s">
        <v>230</v>
      </c>
      <c r="E98" s="8">
        <f>249.59+27.82+1682.84+265.69+797.78+808.66</f>
        <v>3832.38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15</v>
      </c>
      <c r="C99" s="11" t="s">
        <v>15</v>
      </c>
      <c r="D99" s="5" t="s">
        <v>15</v>
      </c>
      <c r="E99" s="8">
        <v>600</v>
      </c>
      <c r="F99" s="5" t="s">
        <v>9</v>
      </c>
      <c r="G99" s="2" t="s">
        <v>524</v>
      </c>
    </row>
    <row r="100" spans="1:7" x14ac:dyDescent="0.25">
      <c r="A100" s="11">
        <v>84</v>
      </c>
      <c r="B100" s="5" t="s">
        <v>1524</v>
      </c>
      <c r="C100" s="12">
        <v>61350403800</v>
      </c>
      <c r="D100" s="5" t="s">
        <v>1525</v>
      </c>
      <c r="E100" s="8">
        <v>463.75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237</v>
      </c>
      <c r="C101" s="11">
        <v>15907062900</v>
      </c>
      <c r="D101" s="5" t="s">
        <v>239</v>
      </c>
      <c r="E101" s="8">
        <v>3178.32</v>
      </c>
      <c r="F101" s="5" t="s">
        <v>9</v>
      </c>
      <c r="G101" s="2" t="s">
        <v>238</v>
      </c>
    </row>
    <row r="102" spans="1:7" x14ac:dyDescent="0.25">
      <c r="A102" s="11">
        <v>86</v>
      </c>
      <c r="B102" s="5" t="s">
        <v>505</v>
      </c>
      <c r="C102" s="11">
        <v>57270798205</v>
      </c>
      <c r="D102" s="5" t="s">
        <v>506</v>
      </c>
      <c r="E102" s="8">
        <f>995.5+498.56+995.5</f>
        <v>2489.56</v>
      </c>
      <c r="F102" s="5" t="s">
        <v>9</v>
      </c>
      <c r="G102" s="2" t="s">
        <v>11</v>
      </c>
    </row>
    <row r="103" spans="1:7" x14ac:dyDescent="0.25">
      <c r="A103" s="11">
        <v>87</v>
      </c>
      <c r="B103" s="5" t="s">
        <v>66</v>
      </c>
      <c r="C103" s="11">
        <v>42889250808</v>
      </c>
      <c r="D103" s="5" t="s">
        <v>68</v>
      </c>
      <c r="E103" s="8">
        <v>120.35</v>
      </c>
      <c r="F103" s="5" t="s">
        <v>9</v>
      </c>
      <c r="G103" s="2" t="s">
        <v>64</v>
      </c>
    </row>
    <row r="104" spans="1:7" x14ac:dyDescent="0.25">
      <c r="A104" s="11">
        <v>88</v>
      </c>
      <c r="B104" s="5" t="s">
        <v>22</v>
      </c>
      <c r="C104" s="11">
        <v>73660371074</v>
      </c>
      <c r="D104" s="5" t="s">
        <v>28</v>
      </c>
      <c r="E104" s="8">
        <f>103.03</f>
        <v>103.03</v>
      </c>
      <c r="F104" s="5" t="s">
        <v>9</v>
      </c>
      <c r="G104" s="2" t="s">
        <v>21</v>
      </c>
    </row>
    <row r="105" spans="1:7" x14ac:dyDescent="0.25">
      <c r="A105" s="11">
        <v>89</v>
      </c>
      <c r="B105" s="5" t="s">
        <v>1558</v>
      </c>
      <c r="C105" s="11">
        <v>51846314410</v>
      </c>
      <c r="D105" s="5" t="s">
        <v>1559</v>
      </c>
      <c r="E105" s="8">
        <v>1152.1500000000001</v>
      </c>
      <c r="F105" s="5" t="s">
        <v>9</v>
      </c>
      <c r="G105" s="2" t="s">
        <v>211</v>
      </c>
    </row>
    <row r="106" spans="1:7" x14ac:dyDescent="0.25">
      <c r="A106" s="11">
        <v>90</v>
      </c>
      <c r="B106" s="5" t="s">
        <v>1560</v>
      </c>
      <c r="C106" s="11">
        <v>15533693916</v>
      </c>
      <c r="D106" s="5" t="s">
        <v>1227</v>
      </c>
      <c r="E106" s="8">
        <f>1610</f>
        <v>1610</v>
      </c>
      <c r="F106" s="5" t="s">
        <v>9</v>
      </c>
      <c r="G106" s="2" t="s">
        <v>21</v>
      </c>
    </row>
    <row r="107" spans="1:7" x14ac:dyDescent="0.25">
      <c r="A107" s="11">
        <v>91</v>
      </c>
      <c r="B107" s="5" t="s">
        <v>1561</v>
      </c>
      <c r="C107" s="11">
        <v>55232200465</v>
      </c>
      <c r="D107" s="5" t="s">
        <v>1562</v>
      </c>
      <c r="E107" s="8">
        <v>1098.6099999999999</v>
      </c>
      <c r="F107" s="5" t="s">
        <v>9</v>
      </c>
      <c r="G107" s="2" t="s">
        <v>999</v>
      </c>
    </row>
    <row r="108" spans="1:7" x14ac:dyDescent="0.25">
      <c r="A108" s="11">
        <v>92</v>
      </c>
      <c r="B108" s="5" t="s">
        <v>492</v>
      </c>
      <c r="C108" s="11">
        <v>68381265730</v>
      </c>
      <c r="D108" s="5" t="s">
        <v>493</v>
      </c>
      <c r="E108" s="8">
        <v>1665</v>
      </c>
      <c r="F108" s="5" t="s">
        <v>9</v>
      </c>
      <c r="G108" s="2" t="s">
        <v>21</v>
      </c>
    </row>
    <row r="109" spans="1:7" x14ac:dyDescent="0.25">
      <c r="A109" s="11">
        <v>93</v>
      </c>
      <c r="B109" s="5" t="s">
        <v>1563</v>
      </c>
      <c r="C109" s="11">
        <v>18499608152</v>
      </c>
      <c r="D109" s="5" t="s">
        <v>1564</v>
      </c>
      <c r="E109" s="8">
        <v>11.25</v>
      </c>
      <c r="F109" s="5" t="s">
        <v>9</v>
      </c>
      <c r="G109" s="2" t="s">
        <v>21</v>
      </c>
    </row>
    <row r="110" spans="1:7" x14ac:dyDescent="0.25">
      <c r="A110" s="11">
        <v>94</v>
      </c>
      <c r="B110" s="5" t="s">
        <v>990</v>
      </c>
      <c r="C110" s="12" t="s">
        <v>991</v>
      </c>
      <c r="D110" s="5" t="s">
        <v>992</v>
      </c>
      <c r="E110" s="8">
        <v>3281.4</v>
      </c>
      <c r="F110" s="5" t="s">
        <v>9</v>
      </c>
      <c r="G110" s="2" t="s">
        <v>21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558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609</v>
      </c>
      <c r="C112" s="11" t="s">
        <v>611</v>
      </c>
      <c r="D112" s="5" t="s">
        <v>610</v>
      </c>
      <c r="E112" s="8">
        <v>108.8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269</v>
      </c>
      <c r="C113" s="11">
        <v>48249084626</v>
      </c>
      <c r="D113" s="5" t="s">
        <v>270</v>
      </c>
      <c r="E113" s="8">
        <f>401.75+123.26+10.2+2635.8+187.5+276.3+280.16</f>
        <v>3914.9700000000003</v>
      </c>
      <c r="F113" s="5" t="s">
        <v>9</v>
      </c>
      <c r="G113" s="2" t="s">
        <v>21</v>
      </c>
    </row>
    <row r="114" spans="1:7" x14ac:dyDescent="0.25">
      <c r="A114" s="11">
        <v>98</v>
      </c>
      <c r="B114" s="5" t="s">
        <v>267</v>
      </c>
      <c r="C114" s="11">
        <v>64021574271</v>
      </c>
      <c r="D114" s="5" t="s">
        <v>268</v>
      </c>
      <c r="E114" s="8">
        <f>268.4+103.14+257+93.35+2740.13+141.44</f>
        <v>3603.46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277</v>
      </c>
      <c r="C115" s="11">
        <v>60365429880</v>
      </c>
      <c r="D115" s="5" t="s">
        <v>278</v>
      </c>
      <c r="E115" s="8">
        <f>139.86+371.45</f>
        <v>511.31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279</v>
      </c>
      <c r="C116" s="11">
        <v>37879152548</v>
      </c>
      <c r="D116" s="5" t="s">
        <v>280</v>
      </c>
      <c r="E116" s="8">
        <f>784.5+1442.81+866.25+729</f>
        <v>3822.56</v>
      </c>
      <c r="F116" s="5" t="s">
        <v>9</v>
      </c>
      <c r="G116" s="2" t="s">
        <v>21</v>
      </c>
    </row>
    <row r="117" spans="1:7" x14ac:dyDescent="0.25">
      <c r="A117" s="11">
        <v>101</v>
      </c>
      <c r="B117" s="5" t="s">
        <v>324</v>
      </c>
      <c r="C117" s="11">
        <v>64008199572</v>
      </c>
      <c r="D117" s="5" t="s">
        <v>325</v>
      </c>
      <c r="E117" s="8">
        <f>164.75</f>
        <v>164.75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283</v>
      </c>
      <c r="C118" s="11">
        <v>39048902955</v>
      </c>
      <c r="D118" s="5" t="s">
        <v>284</v>
      </c>
      <c r="E118" s="8">
        <v>443.78</v>
      </c>
      <c r="F118" s="5" t="s">
        <v>9</v>
      </c>
      <c r="G118" s="2" t="s">
        <v>47</v>
      </c>
    </row>
    <row r="119" spans="1:7" x14ac:dyDescent="0.25">
      <c r="A119" s="11">
        <v>103</v>
      </c>
      <c r="B119" s="5" t="s">
        <v>285</v>
      </c>
      <c r="C119" s="11">
        <v>85375838060</v>
      </c>
      <c r="D119" s="5" t="s">
        <v>286</v>
      </c>
      <c r="E119" s="8">
        <f>28.55+285.5</f>
        <v>314.05</v>
      </c>
      <c r="F119" s="5" t="s">
        <v>9</v>
      </c>
      <c r="G119" s="2" t="s">
        <v>47</v>
      </c>
    </row>
    <row r="120" spans="1:7" x14ac:dyDescent="0.25">
      <c r="A120" s="11">
        <v>104</v>
      </c>
      <c r="B120" s="5" t="s">
        <v>287</v>
      </c>
      <c r="C120" s="11">
        <v>55614719992</v>
      </c>
      <c r="D120" s="5" t="s">
        <v>288</v>
      </c>
      <c r="E120" s="8">
        <f>55.16+116.13+5278.41+653.4</f>
        <v>6103.0999999999995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248</v>
      </c>
      <c r="C121" s="11">
        <v>22740118957</v>
      </c>
      <c r="D121" s="5" t="s">
        <v>249</v>
      </c>
      <c r="E121" s="8">
        <f>231+820+1975+3280+1640</f>
        <v>7946</v>
      </c>
      <c r="F121" s="5" t="s">
        <v>9</v>
      </c>
      <c r="G121" s="2" t="s">
        <v>21</v>
      </c>
    </row>
    <row r="122" spans="1:7" x14ac:dyDescent="0.25">
      <c r="A122" s="11">
        <v>106</v>
      </c>
      <c r="B122" s="5" t="s">
        <v>734</v>
      </c>
      <c r="C122" s="11">
        <v>66734484850</v>
      </c>
      <c r="D122" s="5" t="s">
        <v>735</v>
      </c>
      <c r="E122" s="8">
        <f>500+1500</f>
        <v>2000</v>
      </c>
      <c r="F122" s="5" t="s">
        <v>9</v>
      </c>
      <c r="G122" s="2" t="s">
        <v>453</v>
      </c>
    </row>
    <row r="123" spans="1:7" x14ac:dyDescent="0.25">
      <c r="A123" s="11">
        <v>107</v>
      </c>
      <c r="B123" s="5" t="s">
        <v>1153</v>
      </c>
      <c r="C123" s="11">
        <v>72026633009</v>
      </c>
      <c r="D123" s="5" t="s">
        <v>1154</v>
      </c>
      <c r="E123" s="8">
        <f>500+1050+1500</f>
        <v>3050</v>
      </c>
      <c r="F123" s="5" t="s">
        <v>9</v>
      </c>
      <c r="G123" s="2" t="s">
        <v>21</v>
      </c>
    </row>
    <row r="124" spans="1:7" ht="15.75" thickBot="1" x14ac:dyDescent="0.3">
      <c r="A124" s="11">
        <v>108</v>
      </c>
      <c r="B124" s="19" t="s">
        <v>665</v>
      </c>
      <c r="C124" s="33">
        <v>51172510950</v>
      </c>
      <c r="D124" s="19" t="s">
        <v>666</v>
      </c>
      <c r="E124" s="15">
        <f>36.46+769.25</f>
        <v>805.71</v>
      </c>
      <c r="F124" s="19" t="s">
        <v>9</v>
      </c>
      <c r="G124" s="26" t="s">
        <v>21</v>
      </c>
    </row>
    <row r="125" spans="1:7" x14ac:dyDescent="0.25">
      <c r="A125" s="74">
        <v>109</v>
      </c>
      <c r="B125" s="76" t="s">
        <v>1565</v>
      </c>
      <c r="C125" s="74">
        <v>41025754642</v>
      </c>
      <c r="D125" s="76" t="s">
        <v>1566</v>
      </c>
      <c r="E125" s="16">
        <f>437.5+1250</f>
        <v>1687.5</v>
      </c>
      <c r="F125" s="76" t="s">
        <v>9</v>
      </c>
      <c r="G125" s="28" t="s">
        <v>64</v>
      </c>
    </row>
    <row r="126" spans="1:7" ht="15.75" thickBot="1" x14ac:dyDescent="0.3">
      <c r="A126" s="75"/>
      <c r="B126" s="77"/>
      <c r="C126" s="75"/>
      <c r="D126" s="77"/>
      <c r="E126" s="18">
        <v>6480.74</v>
      </c>
      <c r="F126" s="77"/>
      <c r="G126" s="29" t="s">
        <v>116</v>
      </c>
    </row>
    <row r="127" spans="1:7" x14ac:dyDescent="0.25">
      <c r="A127" s="34">
        <v>110</v>
      </c>
      <c r="B127" s="30" t="s">
        <v>549</v>
      </c>
      <c r="C127" s="34">
        <v>92712381028</v>
      </c>
      <c r="D127" s="30" t="s">
        <v>550</v>
      </c>
      <c r="E127" s="17">
        <f>182.44</f>
        <v>182.44</v>
      </c>
      <c r="F127" s="30" t="s">
        <v>9</v>
      </c>
      <c r="G127" s="31" t="s">
        <v>21</v>
      </c>
    </row>
    <row r="128" spans="1:7" x14ac:dyDescent="0.25">
      <c r="A128" s="11">
        <v>111</v>
      </c>
      <c r="B128" s="30" t="s">
        <v>656</v>
      </c>
      <c r="C128" s="34">
        <v>35082328665</v>
      </c>
      <c r="D128" s="30" t="s">
        <v>185</v>
      </c>
      <c r="E128" s="8">
        <f>1002.73+11237.5+3405.75+775+1550.75+4181.78</f>
        <v>22153.51</v>
      </c>
      <c r="F128" s="5" t="s">
        <v>9</v>
      </c>
      <c r="G128" s="2" t="s">
        <v>21</v>
      </c>
    </row>
    <row r="129" spans="1:7" x14ac:dyDescent="0.25">
      <c r="A129" s="11">
        <v>112</v>
      </c>
      <c r="B129" s="5" t="s">
        <v>720</v>
      </c>
      <c r="C129" s="11">
        <v>55622004611</v>
      </c>
      <c r="D129" s="5" t="s">
        <v>721</v>
      </c>
      <c r="E129" s="8">
        <v>45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1088</v>
      </c>
      <c r="C130" s="11" t="s">
        <v>1089</v>
      </c>
      <c r="D130" s="5" t="s">
        <v>1090</v>
      </c>
      <c r="E130" s="8">
        <f>2346.6+5044.6</f>
        <v>7391.2000000000007</v>
      </c>
      <c r="F130" s="5" t="s">
        <v>9</v>
      </c>
      <c r="G130" s="2" t="s">
        <v>21</v>
      </c>
    </row>
    <row r="131" spans="1:7" x14ac:dyDescent="0.25">
      <c r="A131" s="11">
        <v>114</v>
      </c>
      <c r="B131" s="5" t="s">
        <v>514</v>
      </c>
      <c r="C131" s="11" t="s">
        <v>515</v>
      </c>
      <c r="D131" s="5" t="s">
        <v>516</v>
      </c>
      <c r="E131" s="8">
        <v>4362.5</v>
      </c>
      <c r="F131" s="5" t="s">
        <v>9</v>
      </c>
      <c r="G131" s="2" t="s">
        <v>21</v>
      </c>
    </row>
    <row r="132" spans="1:7" x14ac:dyDescent="0.25">
      <c r="A132" s="11">
        <v>115</v>
      </c>
      <c r="B132" s="5" t="s">
        <v>1567</v>
      </c>
      <c r="C132" s="11">
        <v>61449176051</v>
      </c>
      <c r="D132" s="5" t="s">
        <v>1568</v>
      </c>
      <c r="E132" s="8">
        <v>91.3</v>
      </c>
      <c r="F132" s="5" t="s">
        <v>9</v>
      </c>
      <c r="G132" s="2" t="s">
        <v>130</v>
      </c>
    </row>
    <row r="133" spans="1:7" x14ac:dyDescent="0.25">
      <c r="A133" s="11">
        <v>116</v>
      </c>
      <c r="B133" s="5" t="s">
        <v>1569</v>
      </c>
      <c r="C133" s="11">
        <v>37694943057</v>
      </c>
      <c r="D133" s="5" t="s">
        <v>1570</v>
      </c>
      <c r="E133" s="8">
        <v>92.26</v>
      </c>
      <c r="F133" s="5" t="s">
        <v>9</v>
      </c>
      <c r="G133" s="2" t="s">
        <v>130</v>
      </c>
    </row>
    <row r="134" spans="1:7" x14ac:dyDescent="0.25">
      <c r="A134" s="11">
        <v>117</v>
      </c>
      <c r="B134" s="5" t="s">
        <v>1266</v>
      </c>
      <c r="C134" s="11">
        <v>75202805533</v>
      </c>
      <c r="D134" s="5" t="s">
        <v>1267</v>
      </c>
      <c r="E134" s="8">
        <f>8.31+14.49</f>
        <v>22.8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1482</v>
      </c>
      <c r="C135" s="11" t="s">
        <v>1483</v>
      </c>
      <c r="D135" s="5" t="s">
        <v>1484</v>
      </c>
      <c r="E135" s="8">
        <v>7863.46</v>
      </c>
      <c r="F135" s="5" t="s">
        <v>9</v>
      </c>
      <c r="G135" s="2" t="s">
        <v>116</v>
      </c>
    </row>
    <row r="136" spans="1:7" x14ac:dyDescent="0.25">
      <c r="A136" s="11">
        <v>119</v>
      </c>
      <c r="B136" s="5" t="s">
        <v>586</v>
      </c>
      <c r="C136" s="11">
        <v>82125295985</v>
      </c>
      <c r="D136" s="5" t="s">
        <v>587</v>
      </c>
      <c r="E136" s="8">
        <v>312.25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544</v>
      </c>
      <c r="C137" s="11">
        <v>61373622132</v>
      </c>
      <c r="D137" s="5" t="s">
        <v>545</v>
      </c>
      <c r="E137" s="8">
        <v>104.69</v>
      </c>
      <c r="F137" s="5" t="s">
        <v>9</v>
      </c>
      <c r="G137" s="2" t="s">
        <v>21</v>
      </c>
    </row>
    <row r="138" spans="1:7" x14ac:dyDescent="0.25">
      <c r="A138" s="11">
        <v>121</v>
      </c>
      <c r="B138" s="5" t="s">
        <v>625</v>
      </c>
      <c r="C138" s="11">
        <v>43764396102</v>
      </c>
      <c r="D138" s="5" t="s">
        <v>626</v>
      </c>
      <c r="E138" s="8">
        <f>5914.54+4320</f>
        <v>10234.540000000001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507</v>
      </c>
      <c r="C139" s="11" t="s">
        <v>508</v>
      </c>
      <c r="D139" s="5" t="s">
        <v>509</v>
      </c>
      <c r="E139" s="8">
        <f>10000+2195+753.02</f>
        <v>12948.02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972</v>
      </c>
      <c r="C140" s="11" t="s">
        <v>973</v>
      </c>
      <c r="D140" s="5" t="s">
        <v>974</v>
      </c>
      <c r="E140" s="8">
        <v>40000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1432</v>
      </c>
      <c r="C141" s="11" t="s">
        <v>1433</v>
      </c>
      <c r="D141" s="5" t="s">
        <v>1434</v>
      </c>
      <c r="E141" s="8">
        <v>880.36</v>
      </c>
      <c r="F141" s="5" t="s">
        <v>9</v>
      </c>
      <c r="G141" s="2" t="s">
        <v>21</v>
      </c>
    </row>
    <row r="142" spans="1:7" x14ac:dyDescent="0.25">
      <c r="A142" s="11">
        <v>125</v>
      </c>
      <c r="B142" s="5" t="s">
        <v>856</v>
      </c>
      <c r="C142" s="11" t="s">
        <v>857</v>
      </c>
      <c r="D142" s="5" t="s">
        <v>858</v>
      </c>
      <c r="E142" s="8">
        <v>760</v>
      </c>
      <c r="F142" s="5" t="s">
        <v>9</v>
      </c>
      <c r="G142" s="2" t="s">
        <v>21</v>
      </c>
    </row>
    <row r="143" spans="1:7" x14ac:dyDescent="0.25">
      <c r="A143" s="11">
        <v>126</v>
      </c>
      <c r="B143" s="5" t="s">
        <v>1571</v>
      </c>
      <c r="C143" s="11">
        <v>51653470132</v>
      </c>
      <c r="D143" s="5" t="s">
        <v>1572</v>
      </c>
      <c r="E143" s="8">
        <v>36.65</v>
      </c>
      <c r="F143" s="5" t="s">
        <v>9</v>
      </c>
      <c r="G143" s="2" t="s">
        <v>21</v>
      </c>
    </row>
    <row r="144" spans="1:7" x14ac:dyDescent="0.25">
      <c r="A144" s="11">
        <v>127</v>
      </c>
      <c r="B144" s="5" t="s">
        <v>614</v>
      </c>
      <c r="C144" s="11">
        <v>57845277445</v>
      </c>
      <c r="D144" s="5" t="s">
        <v>615</v>
      </c>
      <c r="E144" s="8">
        <v>358.25</v>
      </c>
      <c r="F144" s="5" t="s">
        <v>9</v>
      </c>
      <c r="G144" s="2" t="s">
        <v>132</v>
      </c>
    </row>
    <row r="145" spans="1:7" x14ac:dyDescent="0.25">
      <c r="A145" s="11">
        <v>128</v>
      </c>
      <c r="B145" s="5" t="s">
        <v>986</v>
      </c>
      <c r="C145" s="12">
        <v>71116385993</v>
      </c>
      <c r="D145" s="5" t="s">
        <v>987</v>
      </c>
      <c r="E145" s="8">
        <f>1257.95+248.06</f>
        <v>1506.01</v>
      </c>
      <c r="F145" s="5" t="s">
        <v>9</v>
      </c>
      <c r="G145" s="2" t="s">
        <v>21</v>
      </c>
    </row>
    <row r="146" spans="1:7" x14ac:dyDescent="0.25">
      <c r="A146" s="11">
        <v>129</v>
      </c>
      <c r="B146" s="5" t="s">
        <v>406</v>
      </c>
      <c r="C146" s="11">
        <v>82510351433</v>
      </c>
      <c r="D146" s="5" t="s">
        <v>407</v>
      </c>
      <c r="E146" s="8">
        <f>1668.73+65.83</f>
        <v>1734.56</v>
      </c>
      <c r="F146" s="5" t="s">
        <v>9</v>
      </c>
      <c r="G146" s="2" t="s">
        <v>21</v>
      </c>
    </row>
    <row r="147" spans="1:7" x14ac:dyDescent="0.25">
      <c r="A147" s="11">
        <v>130</v>
      </c>
      <c r="B147" s="5" t="s">
        <v>1108</v>
      </c>
      <c r="C147" s="12" t="s">
        <v>1109</v>
      </c>
      <c r="D147" s="5" t="s">
        <v>1110</v>
      </c>
      <c r="E147" s="8">
        <f>10584.94+7966.39</f>
        <v>18551.330000000002</v>
      </c>
      <c r="F147" s="5" t="s">
        <v>9</v>
      </c>
      <c r="G147" s="2" t="s">
        <v>255</v>
      </c>
    </row>
    <row r="148" spans="1:7" x14ac:dyDescent="0.25">
      <c r="A148" s="11">
        <v>131</v>
      </c>
      <c r="B148" s="19" t="s">
        <v>1531</v>
      </c>
      <c r="C148" s="33">
        <v>71908956484</v>
      </c>
      <c r="D148" s="19" t="s">
        <v>1532</v>
      </c>
      <c r="E148" s="8">
        <v>4497.25</v>
      </c>
      <c r="F148" s="5" t="s">
        <v>9</v>
      </c>
      <c r="G148" s="2" t="s">
        <v>255</v>
      </c>
    </row>
    <row r="149" spans="1:7" x14ac:dyDescent="0.25">
      <c r="A149" s="11">
        <v>132</v>
      </c>
      <c r="B149" s="5" t="s">
        <v>793</v>
      </c>
      <c r="C149" s="11">
        <v>15584765545</v>
      </c>
      <c r="D149" s="5" t="s">
        <v>794</v>
      </c>
      <c r="E149" s="8">
        <v>1000</v>
      </c>
      <c r="F149" s="5" t="s">
        <v>9</v>
      </c>
      <c r="G149" s="2" t="s">
        <v>178</v>
      </c>
    </row>
    <row r="150" spans="1:7" x14ac:dyDescent="0.25">
      <c r="A150" s="11">
        <v>133</v>
      </c>
      <c r="B150" s="19" t="s">
        <v>1131</v>
      </c>
      <c r="C150" s="33">
        <v>38453826849</v>
      </c>
      <c r="D150" s="19" t="s">
        <v>1019</v>
      </c>
      <c r="E150" s="8">
        <v>1700.63</v>
      </c>
      <c r="F150" s="5" t="s">
        <v>9</v>
      </c>
      <c r="G150" s="2" t="s">
        <v>21</v>
      </c>
    </row>
    <row r="151" spans="1:7" x14ac:dyDescent="0.25">
      <c r="A151" s="11">
        <v>134</v>
      </c>
      <c r="B151" s="5" t="s">
        <v>1063</v>
      </c>
      <c r="C151" s="11">
        <v>32047404941</v>
      </c>
      <c r="D151" s="5" t="s">
        <v>1064</v>
      </c>
      <c r="E151" s="8">
        <v>6235.99</v>
      </c>
      <c r="F151" s="5" t="s">
        <v>9</v>
      </c>
      <c r="G151" s="2" t="s">
        <v>21</v>
      </c>
    </row>
    <row r="152" spans="1:7" x14ac:dyDescent="0.25">
      <c r="A152" s="11">
        <v>135</v>
      </c>
      <c r="B152" s="5" t="s">
        <v>582</v>
      </c>
      <c r="C152" s="11">
        <v>38842004780</v>
      </c>
      <c r="D152" s="5" t="s">
        <v>583</v>
      </c>
      <c r="E152" s="8">
        <f>900+218.75</f>
        <v>1118.75</v>
      </c>
      <c r="F152" s="5" t="s">
        <v>9</v>
      </c>
      <c r="G152" s="2" t="s">
        <v>21</v>
      </c>
    </row>
    <row r="153" spans="1:7" x14ac:dyDescent="0.25">
      <c r="A153" s="11">
        <v>136</v>
      </c>
      <c r="B153" s="5" t="s">
        <v>1573</v>
      </c>
      <c r="C153" s="11">
        <v>79824224893</v>
      </c>
      <c r="D153" s="5" t="s">
        <v>1574</v>
      </c>
      <c r="E153" s="8">
        <f>4170.16+26.81</f>
        <v>4196.97</v>
      </c>
      <c r="F153" s="5" t="s">
        <v>9</v>
      </c>
      <c r="G153" s="2" t="s">
        <v>21</v>
      </c>
    </row>
    <row r="154" spans="1:7" x14ac:dyDescent="0.25">
      <c r="A154" s="11">
        <v>137</v>
      </c>
      <c r="B154" s="5" t="s">
        <v>1575</v>
      </c>
      <c r="C154" s="11">
        <v>36774819256</v>
      </c>
      <c r="D154" s="5" t="s">
        <v>352</v>
      </c>
      <c r="E154" s="8">
        <v>4312.5</v>
      </c>
      <c r="F154" s="5" t="s">
        <v>9</v>
      </c>
      <c r="G154" s="2" t="s">
        <v>1576</v>
      </c>
    </row>
    <row r="155" spans="1:7" x14ac:dyDescent="0.25">
      <c r="A155" s="11">
        <v>138</v>
      </c>
      <c r="B155" s="5" t="s">
        <v>1577</v>
      </c>
      <c r="C155" s="11" t="s">
        <v>1578</v>
      </c>
      <c r="D155" s="5" t="s">
        <v>1579</v>
      </c>
      <c r="E155" s="8">
        <v>919.4</v>
      </c>
      <c r="F155" s="5" t="s">
        <v>9</v>
      </c>
      <c r="G155" s="2" t="s">
        <v>21</v>
      </c>
    </row>
    <row r="156" spans="1:7" x14ac:dyDescent="0.25">
      <c r="A156" s="11">
        <v>139</v>
      </c>
      <c r="B156" s="5" t="s">
        <v>1580</v>
      </c>
      <c r="C156" s="12" t="s">
        <v>1581</v>
      </c>
      <c r="D156" s="5" t="s">
        <v>1582</v>
      </c>
      <c r="E156" s="8">
        <v>7375.72</v>
      </c>
      <c r="F156" s="5" t="s">
        <v>9</v>
      </c>
      <c r="G156" s="2" t="s">
        <v>21</v>
      </c>
    </row>
    <row r="157" spans="1:7" x14ac:dyDescent="0.25">
      <c r="A157" s="11">
        <v>140</v>
      </c>
      <c r="B157" s="5" t="s">
        <v>1583</v>
      </c>
      <c r="C157" s="12" t="s">
        <v>773</v>
      </c>
      <c r="D157" s="5" t="s">
        <v>1584</v>
      </c>
      <c r="E157" s="8">
        <v>6811.39</v>
      </c>
      <c r="F157" s="5" t="s">
        <v>9</v>
      </c>
      <c r="G157" s="2" t="s">
        <v>21</v>
      </c>
    </row>
    <row r="158" spans="1:7" x14ac:dyDescent="0.25">
      <c r="A158" s="11">
        <v>141</v>
      </c>
      <c r="B158" s="5" t="s">
        <v>1548</v>
      </c>
      <c r="C158" s="11">
        <v>29519763547</v>
      </c>
      <c r="D158" s="5" t="s">
        <v>1549</v>
      </c>
      <c r="E158" s="8">
        <v>364.2</v>
      </c>
      <c r="F158" s="5" t="s">
        <v>9</v>
      </c>
      <c r="G158" s="2" t="s">
        <v>21</v>
      </c>
    </row>
    <row r="159" spans="1:7" x14ac:dyDescent="0.25">
      <c r="A159" s="11">
        <v>142</v>
      </c>
      <c r="B159" s="5" t="s">
        <v>468</v>
      </c>
      <c r="C159" s="11">
        <v>21680443525</v>
      </c>
      <c r="D159" s="5" t="s">
        <v>469</v>
      </c>
      <c r="E159" s="8">
        <f>314.44</f>
        <v>314.44</v>
      </c>
      <c r="F159" s="5" t="s">
        <v>9</v>
      </c>
      <c r="G159" s="2" t="s">
        <v>21</v>
      </c>
    </row>
    <row r="160" spans="1:7" x14ac:dyDescent="0.25">
      <c r="A160" s="11">
        <v>143</v>
      </c>
      <c r="B160" s="5" t="s">
        <v>376</v>
      </c>
      <c r="C160" s="11">
        <v>56862872842</v>
      </c>
      <c r="D160" s="5" t="s">
        <v>385</v>
      </c>
      <c r="E160" s="8">
        <f>137.5</f>
        <v>137.5</v>
      </c>
      <c r="F160" s="5" t="s">
        <v>9</v>
      </c>
      <c r="G160" s="2" t="s">
        <v>21</v>
      </c>
    </row>
    <row r="161" spans="1:7" x14ac:dyDescent="0.25">
      <c r="A161" s="11">
        <v>144</v>
      </c>
      <c r="B161" s="5" t="s">
        <v>461</v>
      </c>
      <c r="C161" s="11">
        <v>93716144137</v>
      </c>
      <c r="D161" s="5" t="s">
        <v>462</v>
      </c>
      <c r="E161" s="8">
        <v>168.75</v>
      </c>
      <c r="F161" s="5" t="s">
        <v>9</v>
      </c>
      <c r="G161" s="2" t="s">
        <v>21</v>
      </c>
    </row>
    <row r="162" spans="1:7" x14ac:dyDescent="0.25">
      <c r="A162" s="11">
        <v>145</v>
      </c>
      <c r="B162" s="5" t="s">
        <v>485</v>
      </c>
      <c r="C162" s="11">
        <v>52398663574</v>
      </c>
      <c r="D162" s="5" t="s">
        <v>484</v>
      </c>
      <c r="E162" s="8">
        <v>816.46</v>
      </c>
      <c r="F162" s="5" t="s">
        <v>9</v>
      </c>
      <c r="G162" s="2" t="s">
        <v>394</v>
      </c>
    </row>
    <row r="163" spans="1:7" x14ac:dyDescent="0.25">
      <c r="A163" s="11">
        <v>146</v>
      </c>
      <c r="B163" s="5" t="s">
        <v>530</v>
      </c>
      <c r="C163" s="11">
        <v>86252349701</v>
      </c>
      <c r="D163" s="5" t="s">
        <v>531</v>
      </c>
      <c r="E163" s="8">
        <v>2325</v>
      </c>
      <c r="F163" s="5" t="s">
        <v>9</v>
      </c>
      <c r="G163" s="2" t="s">
        <v>21</v>
      </c>
    </row>
    <row r="164" spans="1:7" x14ac:dyDescent="0.25">
      <c r="A164" s="11">
        <v>147</v>
      </c>
      <c r="B164" s="5" t="s">
        <v>742</v>
      </c>
      <c r="C164" s="11">
        <v>40382428949</v>
      </c>
      <c r="D164" s="5" t="s">
        <v>743</v>
      </c>
      <c r="E164" s="8">
        <v>318.86</v>
      </c>
      <c r="F164" s="5" t="s">
        <v>9</v>
      </c>
      <c r="G164" s="2" t="s">
        <v>21</v>
      </c>
    </row>
    <row r="165" spans="1:7" x14ac:dyDescent="0.25">
      <c r="A165" s="11">
        <v>148</v>
      </c>
      <c r="B165" s="5" t="s">
        <v>865</v>
      </c>
      <c r="C165" s="11">
        <v>64691033428</v>
      </c>
      <c r="D165" s="5" t="s">
        <v>866</v>
      </c>
      <c r="E165" s="8">
        <f>484.9</f>
        <v>484.9</v>
      </c>
      <c r="F165" s="5" t="s">
        <v>9</v>
      </c>
      <c r="G165" s="2" t="s">
        <v>21</v>
      </c>
    </row>
    <row r="166" spans="1:7" x14ac:dyDescent="0.25">
      <c r="A166" s="11">
        <v>149</v>
      </c>
      <c r="B166" s="5" t="s">
        <v>1155</v>
      </c>
      <c r="C166" s="11">
        <v>73927927880</v>
      </c>
      <c r="D166" s="5" t="s">
        <v>1156</v>
      </c>
      <c r="E166" s="8">
        <v>1850</v>
      </c>
      <c r="F166" s="5" t="s">
        <v>9</v>
      </c>
      <c r="G166" s="2" t="s">
        <v>211</v>
      </c>
    </row>
    <row r="167" spans="1:7" x14ac:dyDescent="0.25">
      <c r="A167" s="11">
        <v>150</v>
      </c>
      <c r="B167" s="5" t="s">
        <v>1215</v>
      </c>
      <c r="C167" s="11" t="s">
        <v>1216</v>
      </c>
      <c r="D167" s="5" t="s">
        <v>1217</v>
      </c>
      <c r="E167" s="8">
        <v>1660</v>
      </c>
      <c r="F167" s="5" t="s">
        <v>9</v>
      </c>
      <c r="G167" s="2" t="s">
        <v>21</v>
      </c>
    </row>
    <row r="168" spans="1:7" x14ac:dyDescent="0.25">
      <c r="A168" s="11">
        <v>151</v>
      </c>
      <c r="B168" s="5" t="s">
        <v>1341</v>
      </c>
      <c r="C168" s="11">
        <v>10613092990</v>
      </c>
      <c r="D168" s="5" t="s">
        <v>1342</v>
      </c>
      <c r="E168" s="8">
        <f>2*1492.98</f>
        <v>2985.96</v>
      </c>
      <c r="F168" s="5" t="s">
        <v>9</v>
      </c>
      <c r="G168" s="2" t="s">
        <v>21</v>
      </c>
    </row>
    <row r="169" spans="1:7" x14ac:dyDescent="0.25">
      <c r="A169" s="11">
        <v>152</v>
      </c>
      <c r="B169" s="21" t="s">
        <v>1419</v>
      </c>
      <c r="C169" s="22">
        <v>22248533094</v>
      </c>
      <c r="D169" s="21" t="s">
        <v>1420</v>
      </c>
      <c r="E169" s="8">
        <v>397</v>
      </c>
      <c r="F169" s="5" t="s">
        <v>9</v>
      </c>
      <c r="G169" s="2" t="s">
        <v>21</v>
      </c>
    </row>
    <row r="170" spans="1:7" x14ac:dyDescent="0.25">
      <c r="A170" s="11">
        <v>153</v>
      </c>
      <c r="B170" s="5" t="s">
        <v>1375</v>
      </c>
      <c r="C170" s="11">
        <v>16123378659</v>
      </c>
      <c r="D170" s="5" t="s">
        <v>1376</v>
      </c>
      <c r="E170" s="8">
        <v>1312.5</v>
      </c>
      <c r="F170" s="5" t="s">
        <v>9</v>
      </c>
      <c r="G170" s="2" t="s">
        <v>21</v>
      </c>
    </row>
    <row r="171" spans="1:7" x14ac:dyDescent="0.25">
      <c r="A171" s="11">
        <v>154</v>
      </c>
      <c r="B171" s="5" t="s">
        <v>1543</v>
      </c>
      <c r="C171" s="11">
        <v>72702911449</v>
      </c>
      <c r="D171" s="5" t="s">
        <v>1544</v>
      </c>
      <c r="E171" s="8">
        <f>1282.5+3839.5+295+916.25+1418.75</f>
        <v>7752</v>
      </c>
      <c r="F171" s="5" t="s">
        <v>9</v>
      </c>
      <c r="G171" s="2" t="s">
        <v>1284</v>
      </c>
    </row>
    <row r="172" spans="1:7" x14ac:dyDescent="0.25">
      <c r="A172" s="11">
        <v>155</v>
      </c>
      <c r="B172" s="5" t="s">
        <v>1585</v>
      </c>
      <c r="C172" s="11">
        <v>63914773196</v>
      </c>
      <c r="D172" s="5" t="s">
        <v>1586</v>
      </c>
      <c r="E172" s="8">
        <v>1008.75</v>
      </c>
      <c r="F172" s="5" t="s">
        <v>9</v>
      </c>
      <c r="G172" s="2" t="s">
        <v>21</v>
      </c>
    </row>
    <row r="173" spans="1:7" x14ac:dyDescent="0.25">
      <c r="A173" s="11">
        <v>156</v>
      </c>
      <c r="B173" s="5" t="s">
        <v>1587</v>
      </c>
      <c r="C173" s="11">
        <v>14195921136</v>
      </c>
      <c r="D173" s="5" t="s">
        <v>356</v>
      </c>
      <c r="E173" s="8">
        <f>12184+3000</f>
        <v>15184</v>
      </c>
      <c r="F173" s="5" t="s">
        <v>9</v>
      </c>
      <c r="G173" s="2" t="s">
        <v>21</v>
      </c>
    </row>
    <row r="174" spans="1:7" x14ac:dyDescent="0.25">
      <c r="A174" s="11">
        <v>157</v>
      </c>
      <c r="B174" s="5" t="s">
        <v>1414</v>
      </c>
      <c r="C174" s="12" t="s">
        <v>1415</v>
      </c>
      <c r="D174" s="5" t="s">
        <v>1416</v>
      </c>
      <c r="E174" s="8">
        <v>7756.25</v>
      </c>
      <c r="F174" s="5" t="s">
        <v>9</v>
      </c>
      <c r="G174" s="2" t="s">
        <v>21</v>
      </c>
    </row>
    <row r="175" spans="1:7" x14ac:dyDescent="0.25">
      <c r="A175" s="11">
        <v>158</v>
      </c>
      <c r="B175" s="5" t="s">
        <v>1588</v>
      </c>
      <c r="C175" s="11">
        <v>14195538193</v>
      </c>
      <c r="D175" s="5" t="s">
        <v>1589</v>
      </c>
      <c r="E175" s="8">
        <f>1669.5+2373.83+1338.79</f>
        <v>5382.12</v>
      </c>
      <c r="F175" s="5" t="s">
        <v>9</v>
      </c>
      <c r="G175" s="2" t="s">
        <v>21</v>
      </c>
    </row>
    <row r="176" spans="1:7" x14ac:dyDescent="0.25">
      <c r="A176" s="11">
        <v>159</v>
      </c>
      <c r="B176" s="5" t="s">
        <v>1590</v>
      </c>
      <c r="C176" s="11">
        <v>73777060562</v>
      </c>
      <c r="D176" s="5" t="s">
        <v>1591</v>
      </c>
      <c r="E176" s="8">
        <f>122.5+366.63</f>
        <v>489.13</v>
      </c>
      <c r="F176" s="5" t="s">
        <v>9</v>
      </c>
      <c r="G176" s="2" t="s">
        <v>21</v>
      </c>
    </row>
    <row r="177" spans="1:7" x14ac:dyDescent="0.25">
      <c r="A177" s="11">
        <v>160</v>
      </c>
      <c r="B177" s="5" t="s">
        <v>1592</v>
      </c>
      <c r="C177" s="11">
        <v>31775386831</v>
      </c>
      <c r="D177" s="5" t="s">
        <v>1593</v>
      </c>
      <c r="E177" s="8">
        <v>1687.5</v>
      </c>
      <c r="F177" s="5" t="s">
        <v>9</v>
      </c>
      <c r="G177" s="2" t="s">
        <v>1576</v>
      </c>
    </row>
    <row r="178" spans="1:7" x14ac:dyDescent="0.25">
      <c r="A178" s="11">
        <v>161</v>
      </c>
      <c r="B178" s="5" t="s">
        <v>1157</v>
      </c>
      <c r="C178" s="11">
        <v>71008774672</v>
      </c>
      <c r="D178" s="5" t="s">
        <v>1158</v>
      </c>
      <c r="E178" s="8">
        <v>3173.18</v>
      </c>
      <c r="F178" s="5" t="s">
        <v>9</v>
      </c>
      <c r="G178" s="2" t="s">
        <v>21</v>
      </c>
    </row>
    <row r="179" spans="1:7" x14ac:dyDescent="0.25">
      <c r="A179" s="11">
        <v>162</v>
      </c>
      <c r="B179" s="5" t="s">
        <v>1185</v>
      </c>
      <c r="C179" s="11" t="s">
        <v>1186</v>
      </c>
      <c r="D179" s="5" t="s">
        <v>1187</v>
      </c>
      <c r="E179" s="8">
        <v>1173.5</v>
      </c>
      <c r="F179" s="5" t="s">
        <v>9</v>
      </c>
      <c r="G179" s="2" t="s">
        <v>21</v>
      </c>
    </row>
    <row r="180" spans="1:7" x14ac:dyDescent="0.25">
      <c r="A180" s="11">
        <v>163</v>
      </c>
      <c r="B180" s="19" t="s">
        <v>1370</v>
      </c>
      <c r="C180" s="39">
        <v>89021876450</v>
      </c>
      <c r="D180" s="19" t="s">
        <v>1371</v>
      </c>
      <c r="E180" s="8">
        <v>156.4</v>
      </c>
      <c r="F180" s="5" t="s">
        <v>9</v>
      </c>
      <c r="G180" s="2" t="s">
        <v>21</v>
      </c>
    </row>
    <row r="181" spans="1:7" x14ac:dyDescent="0.25">
      <c r="A181" s="11">
        <v>164</v>
      </c>
      <c r="B181" s="5" t="s">
        <v>1594</v>
      </c>
      <c r="C181" s="11">
        <v>31470815690</v>
      </c>
      <c r="D181" s="5" t="s">
        <v>1595</v>
      </c>
      <c r="E181" s="8">
        <v>312.5</v>
      </c>
      <c r="F181" s="5" t="s">
        <v>9</v>
      </c>
      <c r="G181" s="2" t="s">
        <v>192</v>
      </c>
    </row>
    <row r="182" spans="1:7" x14ac:dyDescent="0.25">
      <c r="A182" s="11">
        <v>165</v>
      </c>
      <c r="B182" s="5" t="s">
        <v>1596</v>
      </c>
      <c r="C182" s="11">
        <v>86757364586</v>
      </c>
      <c r="D182" s="5" t="s">
        <v>1597</v>
      </c>
      <c r="E182" s="8">
        <v>24</v>
      </c>
      <c r="F182" s="5" t="s">
        <v>9</v>
      </c>
      <c r="G182" s="2" t="s">
        <v>132</v>
      </c>
    </row>
    <row r="183" spans="1:7" x14ac:dyDescent="0.25">
      <c r="A183" s="11">
        <v>166</v>
      </c>
      <c r="B183" s="5" t="s">
        <v>1598</v>
      </c>
      <c r="C183" s="11">
        <v>49820804455</v>
      </c>
      <c r="D183" s="5" t="s">
        <v>1599</v>
      </c>
      <c r="E183" s="8">
        <v>600</v>
      </c>
      <c r="F183" s="5" t="s">
        <v>9</v>
      </c>
      <c r="G183" s="2" t="s">
        <v>211</v>
      </c>
    </row>
    <row r="184" spans="1:7" x14ac:dyDescent="0.25">
      <c r="A184" s="11">
        <v>167</v>
      </c>
      <c r="B184" s="5" t="s">
        <v>1600</v>
      </c>
      <c r="C184" s="11" t="s">
        <v>1601</v>
      </c>
      <c r="D184" s="5" t="s">
        <v>1602</v>
      </c>
      <c r="E184" s="8">
        <v>815</v>
      </c>
      <c r="F184" s="5" t="s">
        <v>9</v>
      </c>
      <c r="G184" s="2" t="s">
        <v>21</v>
      </c>
    </row>
    <row r="185" spans="1:7" x14ac:dyDescent="0.25">
      <c r="A185" s="11">
        <v>168</v>
      </c>
      <c r="B185" s="5" t="s">
        <v>368</v>
      </c>
      <c r="C185" s="12" t="s">
        <v>370</v>
      </c>
      <c r="D185" s="5" t="s">
        <v>1200</v>
      </c>
      <c r="E185" s="8">
        <f>272.81+1270.89+1253+272.81</f>
        <v>3069.5099999999998</v>
      </c>
      <c r="F185" s="5" t="s">
        <v>9</v>
      </c>
      <c r="G185" s="2" t="s">
        <v>21</v>
      </c>
    </row>
    <row r="186" spans="1:7" x14ac:dyDescent="0.25">
      <c r="A186" s="11">
        <v>169</v>
      </c>
      <c r="B186" s="5" t="s">
        <v>704</v>
      </c>
      <c r="C186" s="11">
        <v>93475459627</v>
      </c>
      <c r="D186" s="5" t="s">
        <v>705</v>
      </c>
      <c r="E186" s="8">
        <f>1990</f>
        <v>1990</v>
      </c>
      <c r="F186" s="5" t="s">
        <v>9</v>
      </c>
      <c r="G186" s="2" t="s">
        <v>21</v>
      </c>
    </row>
    <row r="187" spans="1:7" x14ac:dyDescent="0.25">
      <c r="A187" s="11">
        <v>170</v>
      </c>
      <c r="B187" s="5" t="s">
        <v>874</v>
      </c>
      <c r="C187" s="11" t="s">
        <v>875</v>
      </c>
      <c r="D187" s="5" t="s">
        <v>876</v>
      </c>
      <c r="E187" s="8">
        <v>5130.8</v>
      </c>
      <c r="F187" s="5" t="s">
        <v>9</v>
      </c>
      <c r="G187" s="2" t="s">
        <v>21</v>
      </c>
    </row>
    <row r="188" spans="1:7" x14ac:dyDescent="0.25">
      <c r="A188" s="11">
        <v>171</v>
      </c>
      <c r="B188" s="5" t="s">
        <v>1295</v>
      </c>
      <c r="C188" s="11" t="s">
        <v>1296</v>
      </c>
      <c r="D188" s="5" t="s">
        <v>1297</v>
      </c>
      <c r="E188" s="8">
        <v>1182</v>
      </c>
      <c r="F188" s="5" t="s">
        <v>9</v>
      </c>
      <c r="G188" s="2" t="s">
        <v>21</v>
      </c>
    </row>
    <row r="189" spans="1:7" x14ac:dyDescent="0.25">
      <c r="A189" s="11">
        <v>172</v>
      </c>
      <c r="B189" s="5" t="s">
        <v>534</v>
      </c>
      <c r="C189" s="11">
        <v>37639806727</v>
      </c>
      <c r="D189" s="5" t="s">
        <v>559</v>
      </c>
      <c r="E189" s="8">
        <v>480</v>
      </c>
      <c r="F189" s="5" t="s">
        <v>9</v>
      </c>
      <c r="G189" s="2" t="s">
        <v>1440</v>
      </c>
    </row>
    <row r="190" spans="1:7" x14ac:dyDescent="0.25">
      <c r="A190" s="11">
        <v>173</v>
      </c>
      <c r="B190" s="5" t="s">
        <v>1603</v>
      </c>
      <c r="C190" s="11">
        <v>57636759173</v>
      </c>
      <c r="D190" s="5" t="s">
        <v>1604</v>
      </c>
      <c r="E190" s="8">
        <v>229.69</v>
      </c>
      <c r="F190" s="5" t="s">
        <v>9</v>
      </c>
      <c r="G190" s="2" t="s">
        <v>968</v>
      </c>
    </row>
    <row r="191" spans="1:7" x14ac:dyDescent="0.25">
      <c r="A191" s="11">
        <v>174</v>
      </c>
      <c r="B191" s="5" t="s">
        <v>1605</v>
      </c>
      <c r="C191" s="11">
        <v>72989721952</v>
      </c>
      <c r="D191" s="5" t="s">
        <v>1606</v>
      </c>
      <c r="E191" s="8">
        <v>267.25</v>
      </c>
      <c r="F191" s="5" t="s">
        <v>9</v>
      </c>
      <c r="G191" s="2" t="s">
        <v>90</v>
      </c>
    </row>
    <row r="192" spans="1:7" x14ac:dyDescent="0.25">
      <c r="A192" s="11">
        <v>175</v>
      </c>
      <c r="B192" s="5" t="s">
        <v>311</v>
      </c>
      <c r="C192" s="11">
        <v>48841983787</v>
      </c>
      <c r="D192" s="5" t="s">
        <v>312</v>
      </c>
      <c r="E192" s="8">
        <f>52.51+8585.63+7525+525+195</f>
        <v>16883.14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107</v>
      </c>
      <c r="C193" s="12" t="s">
        <v>149</v>
      </c>
      <c r="D193" s="5" t="s">
        <v>150</v>
      </c>
      <c r="E193" s="8">
        <f>2*204.63</f>
        <v>409.26</v>
      </c>
      <c r="F193" s="5" t="s">
        <v>9</v>
      </c>
      <c r="G193" s="2" t="s">
        <v>84</v>
      </c>
    </row>
    <row r="194" spans="1:7" x14ac:dyDescent="0.25">
      <c r="A194" s="11">
        <v>177</v>
      </c>
      <c r="B194" s="5" t="s">
        <v>1049</v>
      </c>
      <c r="C194" s="11">
        <v>26211106548</v>
      </c>
      <c r="D194" s="5" t="s">
        <v>111</v>
      </c>
      <c r="E194" s="8">
        <f>148.27+131.77</f>
        <v>280.04000000000002</v>
      </c>
      <c r="F194" s="5" t="s">
        <v>9</v>
      </c>
      <c r="G194" s="2" t="s">
        <v>84</v>
      </c>
    </row>
    <row r="195" spans="1:7" x14ac:dyDescent="0.25">
      <c r="A195" s="11">
        <v>178</v>
      </c>
      <c r="B195" s="5" t="s">
        <v>381</v>
      </c>
      <c r="C195" s="11">
        <v>100299833</v>
      </c>
      <c r="D195" s="5" t="s">
        <v>392</v>
      </c>
      <c r="E195" s="8">
        <f>1300+14294</f>
        <v>15594</v>
      </c>
      <c r="F195" s="5" t="s">
        <v>9</v>
      </c>
      <c r="G195" s="2" t="s">
        <v>21</v>
      </c>
    </row>
    <row r="196" spans="1:7" x14ac:dyDescent="0.25">
      <c r="A196" s="11">
        <v>179</v>
      </c>
      <c r="B196" s="5" t="s">
        <v>275</v>
      </c>
      <c r="C196" s="11">
        <v>76080865307</v>
      </c>
      <c r="D196" s="5" t="s">
        <v>276</v>
      </c>
      <c r="E196" s="8">
        <v>42.78</v>
      </c>
      <c r="F196" s="5" t="s">
        <v>9</v>
      </c>
      <c r="G196" s="2" t="s">
        <v>211</v>
      </c>
    </row>
    <row r="197" spans="1:7" x14ac:dyDescent="0.25">
      <c r="A197" s="11">
        <v>180</v>
      </c>
      <c r="B197" s="5" t="s">
        <v>243</v>
      </c>
      <c r="C197" s="12" t="s">
        <v>245</v>
      </c>
      <c r="D197" s="5" t="s">
        <v>244</v>
      </c>
      <c r="E197" s="8">
        <f>27.1+145+25+40</f>
        <v>237.1</v>
      </c>
      <c r="F197" s="5" t="s">
        <v>9</v>
      </c>
      <c r="G197" s="2" t="s">
        <v>241</v>
      </c>
    </row>
    <row r="198" spans="1:7" x14ac:dyDescent="0.25">
      <c r="A198" s="11">
        <v>181</v>
      </c>
      <c r="B198" s="5" t="s">
        <v>106</v>
      </c>
      <c r="C198" s="11">
        <v>70467048139</v>
      </c>
      <c r="D198" s="5" t="s">
        <v>148</v>
      </c>
      <c r="E198" s="8">
        <f>16.01+11.7</f>
        <v>27.71</v>
      </c>
      <c r="F198" s="5" t="s">
        <v>9</v>
      </c>
      <c r="G198" s="2" t="s">
        <v>84</v>
      </c>
    </row>
    <row r="199" spans="1:7" x14ac:dyDescent="0.25">
      <c r="A199" s="11">
        <v>182</v>
      </c>
      <c r="B199" s="5" t="s">
        <v>622</v>
      </c>
      <c r="C199" s="11">
        <v>42525184727</v>
      </c>
      <c r="D199" s="5" t="s">
        <v>176</v>
      </c>
      <c r="E199" s="8">
        <f>274.4+208.2</f>
        <v>482.59999999999997</v>
      </c>
      <c r="F199" s="5" t="s">
        <v>9</v>
      </c>
      <c r="G199" s="2" t="s">
        <v>130</v>
      </c>
    </row>
    <row r="200" spans="1:7" ht="15.75" thickBot="1" x14ac:dyDescent="0.3">
      <c r="A200" s="11">
        <v>183</v>
      </c>
      <c r="B200" s="19" t="s">
        <v>551</v>
      </c>
      <c r="C200" s="33">
        <v>86648038250</v>
      </c>
      <c r="D200" s="19" t="s">
        <v>498</v>
      </c>
      <c r="E200" s="15">
        <v>81.25</v>
      </c>
      <c r="F200" s="19" t="s">
        <v>9</v>
      </c>
      <c r="G200" s="26" t="s">
        <v>90</v>
      </c>
    </row>
    <row r="201" spans="1:7" x14ac:dyDescent="0.25">
      <c r="A201" s="74">
        <v>184</v>
      </c>
      <c r="B201" s="76" t="s">
        <v>43</v>
      </c>
      <c r="C201" s="74">
        <v>39901919995</v>
      </c>
      <c r="D201" s="76" t="s">
        <v>51</v>
      </c>
      <c r="E201" s="16">
        <f>8318.19+1486.7</f>
        <v>9804.8900000000012</v>
      </c>
      <c r="F201" s="76" t="s">
        <v>9</v>
      </c>
      <c r="G201" s="28" t="s">
        <v>44</v>
      </c>
    </row>
    <row r="202" spans="1:7" ht="15.75" thickBot="1" x14ac:dyDescent="0.3">
      <c r="A202" s="75"/>
      <c r="B202" s="77"/>
      <c r="C202" s="75"/>
      <c r="D202" s="77"/>
      <c r="E202" s="66">
        <f>4000+24738.58+10000</f>
        <v>38738.58</v>
      </c>
      <c r="F202" s="77"/>
      <c r="G202" s="52" t="s">
        <v>46</v>
      </c>
    </row>
    <row r="203" spans="1:7" x14ac:dyDescent="0.25">
      <c r="A203" s="34">
        <v>185</v>
      </c>
      <c r="B203" s="30" t="s">
        <v>298</v>
      </c>
      <c r="C203" s="34">
        <v>85611744662</v>
      </c>
      <c r="D203" s="30" t="s">
        <v>299</v>
      </c>
      <c r="E203" s="17">
        <f>102.75+1252.35+1000</f>
        <v>2355.1</v>
      </c>
      <c r="F203" s="30" t="s">
        <v>9</v>
      </c>
      <c r="G203" s="31" t="s">
        <v>21</v>
      </c>
    </row>
    <row r="204" spans="1:7" x14ac:dyDescent="0.25">
      <c r="A204" s="11">
        <v>186</v>
      </c>
      <c r="B204" s="5" t="s">
        <v>784</v>
      </c>
      <c r="C204" s="11">
        <v>69927324836</v>
      </c>
      <c r="D204" s="5" t="s">
        <v>785</v>
      </c>
      <c r="E204" s="8">
        <f>10000+8015.34</f>
        <v>18015.34</v>
      </c>
      <c r="F204" s="5" t="s">
        <v>9</v>
      </c>
      <c r="G204" s="2" t="s">
        <v>21</v>
      </c>
    </row>
    <row r="205" spans="1:7" x14ac:dyDescent="0.25">
      <c r="A205" s="11">
        <v>187</v>
      </c>
      <c r="B205" s="5" t="s">
        <v>125</v>
      </c>
      <c r="C205" s="11">
        <v>58353015102</v>
      </c>
      <c r="D205" s="5" t="s">
        <v>162</v>
      </c>
      <c r="E205" s="8">
        <f>188.45+1103.85+4406.25+193.11</f>
        <v>5891.66</v>
      </c>
      <c r="F205" s="5" t="s">
        <v>9</v>
      </c>
      <c r="G205" s="2" t="s">
        <v>101</v>
      </c>
    </row>
    <row r="206" spans="1:7" x14ac:dyDescent="0.25">
      <c r="A206" s="11">
        <v>188</v>
      </c>
      <c r="B206" s="5" t="s">
        <v>342</v>
      </c>
      <c r="C206" s="11">
        <v>54482179263</v>
      </c>
      <c r="D206" s="5" t="s">
        <v>343</v>
      </c>
      <c r="E206" s="8">
        <f>659.94+100.55+116.8</f>
        <v>877.29</v>
      </c>
      <c r="F206" s="5" t="s">
        <v>9</v>
      </c>
      <c r="G206" s="2" t="s">
        <v>21</v>
      </c>
    </row>
    <row r="207" spans="1:7" x14ac:dyDescent="0.25">
      <c r="A207" s="11">
        <v>189</v>
      </c>
      <c r="B207" s="19" t="s">
        <v>96</v>
      </c>
      <c r="C207" s="33">
        <v>15429488788</v>
      </c>
      <c r="D207" s="19" t="s">
        <v>97</v>
      </c>
      <c r="E207" s="15">
        <f>961+148.11+961</f>
        <v>2070.11</v>
      </c>
      <c r="F207" s="19" t="s">
        <v>9</v>
      </c>
      <c r="G207" s="26" t="s">
        <v>95</v>
      </c>
    </row>
    <row r="208" spans="1:7" x14ac:dyDescent="0.25">
      <c r="A208" s="11">
        <v>190</v>
      </c>
      <c r="B208" s="30" t="s">
        <v>361</v>
      </c>
      <c r="C208" s="34">
        <v>32371574171</v>
      </c>
      <c r="D208" s="30" t="s">
        <v>362</v>
      </c>
      <c r="E208" s="17">
        <f>500+1462.5+1000</f>
        <v>2962.5</v>
      </c>
      <c r="F208" s="30" t="s">
        <v>9</v>
      </c>
      <c r="G208" s="31" t="s">
        <v>178</v>
      </c>
    </row>
    <row r="209" spans="1:7" x14ac:dyDescent="0.25">
      <c r="A209" s="11">
        <v>191</v>
      </c>
      <c r="B209" s="5" t="s">
        <v>313</v>
      </c>
      <c r="C209" s="11">
        <v>12443607100</v>
      </c>
      <c r="D209" s="5" t="s">
        <v>314</v>
      </c>
      <c r="E209" s="8">
        <f>4148.63+4253.88</f>
        <v>8402.51</v>
      </c>
      <c r="F209" s="5" t="s">
        <v>9</v>
      </c>
      <c r="G209" s="2" t="s">
        <v>21</v>
      </c>
    </row>
    <row r="210" spans="1:7" x14ac:dyDescent="0.25">
      <c r="A210" s="11">
        <v>192</v>
      </c>
      <c r="B210" s="5" t="s">
        <v>346</v>
      </c>
      <c r="C210" s="11">
        <v>79506290597</v>
      </c>
      <c r="D210" s="5" t="s">
        <v>348</v>
      </c>
      <c r="E210" s="8">
        <v>93.75</v>
      </c>
      <c r="F210" s="5" t="s">
        <v>9</v>
      </c>
      <c r="G210" s="2" t="s">
        <v>347</v>
      </c>
    </row>
    <row r="211" spans="1:7" x14ac:dyDescent="0.25">
      <c r="A211" s="11">
        <v>193</v>
      </c>
      <c r="B211" s="5" t="s">
        <v>1472</v>
      </c>
      <c r="C211" s="11">
        <v>74867487620</v>
      </c>
      <c r="D211" s="5" t="s">
        <v>232</v>
      </c>
      <c r="E211" s="8">
        <f>3044.58+891.28+223.07+5736.1+5367.44+1837.44</f>
        <v>17099.909999999996</v>
      </c>
      <c r="F211" s="5" t="s">
        <v>9</v>
      </c>
      <c r="G211" s="2" t="s">
        <v>21</v>
      </c>
    </row>
    <row r="212" spans="1:7" x14ac:dyDescent="0.25">
      <c r="A212" s="11">
        <v>194</v>
      </c>
      <c r="B212" s="5" t="s">
        <v>15</v>
      </c>
      <c r="C212" s="11" t="s">
        <v>15</v>
      </c>
      <c r="D212" s="5" t="s">
        <v>15</v>
      </c>
      <c r="E212" s="8">
        <f>600+600+600+600+600+600+600+600</f>
        <v>4800</v>
      </c>
      <c r="F212" s="5" t="s">
        <v>9</v>
      </c>
      <c r="G212" s="2" t="s">
        <v>16</v>
      </c>
    </row>
    <row r="213" spans="1:7" x14ac:dyDescent="0.25">
      <c r="A213" s="11">
        <v>195</v>
      </c>
      <c r="B213" s="5" t="s">
        <v>15</v>
      </c>
      <c r="C213" s="11" t="s">
        <v>15</v>
      </c>
      <c r="D213" s="5" t="s">
        <v>15</v>
      </c>
      <c r="E213" s="8">
        <f>600+600+1200</f>
        <v>2400</v>
      </c>
      <c r="F213" s="5" t="s">
        <v>9</v>
      </c>
      <c r="G213" s="2" t="s">
        <v>695</v>
      </c>
    </row>
    <row r="214" spans="1:7" x14ac:dyDescent="0.25">
      <c r="A214" s="11">
        <v>196</v>
      </c>
      <c r="B214" s="5" t="s">
        <v>350</v>
      </c>
      <c r="C214" s="11">
        <v>94505281348</v>
      </c>
      <c r="D214" s="5" t="s">
        <v>352</v>
      </c>
      <c r="E214" s="8">
        <v>165.23</v>
      </c>
      <c r="F214" s="5" t="s">
        <v>9</v>
      </c>
      <c r="G214" s="2" t="s">
        <v>211</v>
      </c>
    </row>
    <row r="215" spans="1:7" x14ac:dyDescent="0.25">
      <c r="A215" s="11">
        <v>197</v>
      </c>
      <c r="B215" s="5" t="s">
        <v>1607</v>
      </c>
      <c r="C215" s="11">
        <v>47284388403</v>
      </c>
      <c r="D215" s="5" t="s">
        <v>1608</v>
      </c>
      <c r="E215" s="8">
        <v>29.25</v>
      </c>
      <c r="F215" s="5" t="s">
        <v>9</v>
      </c>
      <c r="G215" s="2" t="s">
        <v>130</v>
      </c>
    </row>
    <row r="216" spans="1:7" x14ac:dyDescent="0.25">
      <c r="A216" s="11">
        <v>198</v>
      </c>
      <c r="B216" s="5" t="s">
        <v>597</v>
      </c>
      <c r="C216" s="11">
        <v>78131970792</v>
      </c>
      <c r="D216" s="5" t="s">
        <v>598</v>
      </c>
      <c r="E216" s="8">
        <f>1062.5+162.5+950+937.5+812.5+400</f>
        <v>4325</v>
      </c>
      <c r="F216" s="5" t="s">
        <v>9</v>
      </c>
      <c r="G216" s="2" t="s">
        <v>178</v>
      </c>
    </row>
    <row r="217" spans="1:7" x14ac:dyDescent="0.25">
      <c r="A217" s="11">
        <v>199</v>
      </c>
      <c r="B217" s="19" t="s">
        <v>466</v>
      </c>
      <c r="C217" s="33">
        <v>30568370357</v>
      </c>
      <c r="D217" s="19" t="s">
        <v>467</v>
      </c>
      <c r="E217" s="15">
        <f>540</f>
        <v>540</v>
      </c>
      <c r="F217" s="19" t="s">
        <v>9</v>
      </c>
      <c r="G217" s="26" t="s">
        <v>211</v>
      </c>
    </row>
    <row r="218" spans="1:7" x14ac:dyDescent="0.25">
      <c r="A218" s="11">
        <v>200</v>
      </c>
      <c r="B218" s="5" t="s">
        <v>199</v>
      </c>
      <c r="C218" s="12" t="s">
        <v>201</v>
      </c>
      <c r="D218" s="5" t="s">
        <v>200</v>
      </c>
      <c r="E218" s="8">
        <f>7633.75+3065+3000+3852.88</f>
        <v>17551.63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326</v>
      </c>
      <c r="C219" s="11">
        <v>83157399243</v>
      </c>
      <c r="D219" s="5" t="s">
        <v>327</v>
      </c>
      <c r="E219" s="8">
        <f>168.75+2052.5+538.75</f>
        <v>2760</v>
      </c>
      <c r="F219" s="5" t="s">
        <v>9</v>
      </c>
      <c r="G219" s="2" t="s">
        <v>21</v>
      </c>
    </row>
    <row r="220" spans="1:7" x14ac:dyDescent="0.25">
      <c r="A220" s="11">
        <v>202</v>
      </c>
      <c r="B220" s="5" t="s">
        <v>336</v>
      </c>
      <c r="C220" s="11">
        <v>69857578031</v>
      </c>
      <c r="D220" s="5" t="s">
        <v>338</v>
      </c>
      <c r="E220" s="8">
        <f>325.65+417.31+824.37</f>
        <v>1567.33</v>
      </c>
      <c r="F220" s="5" t="s">
        <v>9</v>
      </c>
      <c r="G220" s="2" t="s">
        <v>337</v>
      </c>
    </row>
    <row r="221" spans="1:7" x14ac:dyDescent="0.25">
      <c r="A221" s="11">
        <v>203</v>
      </c>
      <c r="B221" s="5" t="s">
        <v>40</v>
      </c>
      <c r="C221" s="11">
        <v>23308926345</v>
      </c>
      <c r="D221" s="5" t="s">
        <v>53</v>
      </c>
      <c r="E221" s="15">
        <f>2*207.31</f>
        <v>414.62</v>
      </c>
      <c r="F221" s="5" t="s">
        <v>9</v>
      </c>
      <c r="G221" s="2" t="s">
        <v>39</v>
      </c>
    </row>
    <row r="222" spans="1:7" x14ac:dyDescent="0.25">
      <c r="A222" s="11">
        <v>204</v>
      </c>
      <c r="B222" s="5" t="s">
        <v>380</v>
      </c>
      <c r="C222" s="11">
        <v>25706416813</v>
      </c>
      <c r="D222" s="5" t="s">
        <v>391</v>
      </c>
      <c r="E222" s="8">
        <v>1348.15</v>
      </c>
      <c r="F222" s="5" t="s">
        <v>9</v>
      </c>
      <c r="G222" s="2" t="s">
        <v>21</v>
      </c>
    </row>
    <row r="223" spans="1:7" x14ac:dyDescent="0.25">
      <c r="A223" s="11">
        <v>205</v>
      </c>
      <c r="B223" s="19" t="s">
        <v>1372</v>
      </c>
      <c r="C223" s="39">
        <v>58530688474</v>
      </c>
      <c r="D223" s="19" t="s">
        <v>1123</v>
      </c>
      <c r="E223" s="8">
        <f>213.57</f>
        <v>213.57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357</v>
      </c>
      <c r="C224" s="11">
        <v>7882320813</v>
      </c>
      <c r="D224" s="5" t="s">
        <v>1184</v>
      </c>
      <c r="E224" s="8">
        <f>110.25+171.84+145+3+66.01+4405.25</f>
        <v>4901.3500000000004</v>
      </c>
      <c r="F224" s="5" t="s">
        <v>9</v>
      </c>
      <c r="G224" s="2" t="s">
        <v>263</v>
      </c>
    </row>
    <row r="225" spans="1:7" x14ac:dyDescent="0.25">
      <c r="A225" s="11">
        <v>207</v>
      </c>
      <c r="B225" s="5" t="s">
        <v>596</v>
      </c>
      <c r="C225" s="11">
        <v>75798666307</v>
      </c>
      <c r="D225" s="5" t="s">
        <v>1540</v>
      </c>
      <c r="E225" s="8">
        <v>366.29</v>
      </c>
      <c r="F225" s="5" t="s">
        <v>9</v>
      </c>
      <c r="G225" s="2" t="s">
        <v>394</v>
      </c>
    </row>
    <row r="226" spans="1:7" x14ac:dyDescent="0.25">
      <c r="A226" s="11">
        <v>208</v>
      </c>
      <c r="B226" s="5" t="s">
        <v>233</v>
      </c>
      <c r="C226" s="11">
        <v>98656691838</v>
      </c>
      <c r="D226" s="5" t="s">
        <v>234</v>
      </c>
      <c r="E226" s="8">
        <f>2975+3166.25</f>
        <v>6141.25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48</v>
      </c>
      <c r="C227" s="11">
        <v>93039509752</v>
      </c>
      <c r="D227" s="5" t="s">
        <v>54</v>
      </c>
      <c r="E227" s="20">
        <f>524.25+1048.5+970.54</f>
        <v>2543.29</v>
      </c>
      <c r="F227" s="19" t="s">
        <v>9</v>
      </c>
      <c r="G227" s="2" t="s">
        <v>49</v>
      </c>
    </row>
    <row r="228" spans="1:7" x14ac:dyDescent="0.25">
      <c r="A228" s="11">
        <v>210</v>
      </c>
      <c r="B228" s="5" t="s">
        <v>204</v>
      </c>
      <c r="C228" s="11">
        <v>96514832734</v>
      </c>
      <c r="D228" s="5" t="s">
        <v>205</v>
      </c>
      <c r="E228" s="8">
        <v>10937.5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180</v>
      </c>
      <c r="C229" s="11">
        <v>48491501393</v>
      </c>
      <c r="D229" s="5" t="s">
        <v>181</v>
      </c>
      <c r="E229" s="8">
        <f>6000+2000</f>
        <v>8000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122</v>
      </c>
      <c r="C230" s="11">
        <v>64862538713</v>
      </c>
      <c r="D230" s="5" t="s">
        <v>160</v>
      </c>
      <c r="E230" s="8">
        <f>55+143.25+950+602.01</f>
        <v>1750.26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271</v>
      </c>
      <c r="C231" s="11">
        <v>26901839603</v>
      </c>
      <c r="D231" s="5" t="s">
        <v>272</v>
      </c>
      <c r="E231" s="8">
        <f>99.69+463.19+805.95+245.63</f>
        <v>1614.46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373</v>
      </c>
      <c r="C232" s="11">
        <v>75725588375</v>
      </c>
      <c r="D232" s="5" t="s">
        <v>374</v>
      </c>
      <c r="E232" s="8">
        <f>695.68+1358.5+2000</f>
        <v>4054.18</v>
      </c>
      <c r="F232" s="5" t="s">
        <v>9</v>
      </c>
      <c r="G232" s="2" t="s">
        <v>21</v>
      </c>
    </row>
    <row r="233" spans="1:7" ht="15.75" thickBot="1" x14ac:dyDescent="0.3">
      <c r="A233" s="11">
        <v>215</v>
      </c>
      <c r="B233" s="19" t="s">
        <v>297</v>
      </c>
      <c r="C233" s="33">
        <v>110752628</v>
      </c>
      <c r="D233" s="19" t="s">
        <v>300</v>
      </c>
      <c r="E233" s="15">
        <f>10000+15708.14+27000</f>
        <v>52708.14</v>
      </c>
      <c r="F233" s="19" t="s">
        <v>9</v>
      </c>
      <c r="G233" s="26" t="s">
        <v>21</v>
      </c>
    </row>
    <row r="234" spans="1:7" x14ac:dyDescent="0.25">
      <c r="A234" s="74">
        <v>216</v>
      </c>
      <c r="B234" s="76" t="s">
        <v>143</v>
      </c>
      <c r="C234" s="74">
        <v>34421776805</v>
      </c>
      <c r="D234" s="76" t="s">
        <v>175</v>
      </c>
      <c r="E234" s="16">
        <f>408.65+72.5+383.64</f>
        <v>864.79</v>
      </c>
      <c r="F234" s="76" t="s">
        <v>9</v>
      </c>
      <c r="G234" s="28" t="s">
        <v>144</v>
      </c>
    </row>
    <row r="235" spans="1:7" ht="15.75" thickBot="1" x14ac:dyDescent="0.3">
      <c r="A235" s="75"/>
      <c r="B235" s="77"/>
      <c r="C235" s="75"/>
      <c r="D235" s="77"/>
      <c r="E235" s="18">
        <f>774.35+828.95</f>
        <v>1603.3000000000002</v>
      </c>
      <c r="F235" s="77"/>
      <c r="G235" s="29" t="s">
        <v>21</v>
      </c>
    </row>
    <row r="236" spans="1:7" x14ac:dyDescent="0.25">
      <c r="A236" s="34">
        <v>217</v>
      </c>
      <c r="B236" s="30" t="s">
        <v>131</v>
      </c>
      <c r="C236" s="34">
        <v>79517545745</v>
      </c>
      <c r="D236" s="30" t="s">
        <v>167</v>
      </c>
      <c r="E236" s="17">
        <v>67.61</v>
      </c>
      <c r="F236" s="30" t="s">
        <v>9</v>
      </c>
      <c r="G236" s="31" t="s">
        <v>132</v>
      </c>
    </row>
    <row r="237" spans="1:7" x14ac:dyDescent="0.25">
      <c r="A237" s="11">
        <v>218</v>
      </c>
      <c r="B237" s="5" t="s">
        <v>220</v>
      </c>
      <c r="C237" s="11" t="s">
        <v>221</v>
      </c>
      <c r="D237" s="5" t="s">
        <v>222</v>
      </c>
      <c r="E237" s="8">
        <f>4143+11273.16+9819.63+1317.89+4685.74</f>
        <v>31239.42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923</v>
      </c>
      <c r="C238" s="11" t="s">
        <v>924</v>
      </c>
      <c r="D238" s="5" t="s">
        <v>925</v>
      </c>
      <c r="E238" s="8">
        <f>373.9+24.91</f>
        <v>398.81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303</v>
      </c>
      <c r="C239" s="11">
        <v>40480660548</v>
      </c>
      <c r="D239" s="5" t="s">
        <v>304</v>
      </c>
      <c r="E239" s="8">
        <f>1000+2685+5000+4685+4000+2000</f>
        <v>19370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452</v>
      </c>
      <c r="C240" s="12" t="s">
        <v>455</v>
      </c>
      <c r="D240" s="5" t="s">
        <v>454</v>
      </c>
      <c r="E240" s="8">
        <f>325+130</f>
        <v>455</v>
      </c>
      <c r="F240" s="5" t="s">
        <v>9</v>
      </c>
      <c r="G240" s="2" t="s">
        <v>453</v>
      </c>
    </row>
    <row r="241" spans="1:7" x14ac:dyDescent="0.25">
      <c r="A241" s="11">
        <v>222</v>
      </c>
      <c r="B241" s="5" t="s">
        <v>319</v>
      </c>
      <c r="C241" s="11" t="s">
        <v>320</v>
      </c>
      <c r="D241" s="5" t="s">
        <v>321</v>
      </c>
      <c r="E241" s="8">
        <f>10080.76+8126+5000</f>
        <v>23206.760000000002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428</v>
      </c>
      <c r="C242" s="11">
        <v>80972836106</v>
      </c>
      <c r="D242" s="5" t="s">
        <v>429</v>
      </c>
      <c r="E242" s="8">
        <f>219.8</f>
        <v>219.8</v>
      </c>
      <c r="F242" s="5" t="s">
        <v>9</v>
      </c>
      <c r="G242" s="2" t="s">
        <v>130</v>
      </c>
    </row>
    <row r="243" spans="1:7" x14ac:dyDescent="0.25">
      <c r="A243" s="11">
        <v>224</v>
      </c>
      <c r="B243" s="5" t="s">
        <v>546</v>
      </c>
      <c r="C243" s="11">
        <v>80805858278</v>
      </c>
      <c r="D243" s="5" t="s">
        <v>187</v>
      </c>
      <c r="E243" s="8">
        <v>58.87</v>
      </c>
      <c r="F243" s="5" t="s">
        <v>9</v>
      </c>
      <c r="G243" s="2" t="s">
        <v>47</v>
      </c>
    </row>
    <row r="244" spans="1:7" x14ac:dyDescent="0.25">
      <c r="A244" s="11">
        <v>225</v>
      </c>
      <c r="B244" s="5" t="s">
        <v>590</v>
      </c>
      <c r="C244" s="11">
        <v>58421021869</v>
      </c>
      <c r="D244" s="5" t="s">
        <v>591</v>
      </c>
      <c r="E244" s="8">
        <f>2203.2+11679.75+12071.7</f>
        <v>25954.65</v>
      </c>
      <c r="F244" s="5" t="s">
        <v>9</v>
      </c>
      <c r="G244" s="2" t="s">
        <v>21</v>
      </c>
    </row>
    <row r="245" spans="1:7" x14ac:dyDescent="0.25">
      <c r="A245" s="11">
        <v>226</v>
      </c>
      <c r="B245" s="5" t="s">
        <v>943</v>
      </c>
      <c r="C245" s="11">
        <v>88745489373</v>
      </c>
      <c r="D245" s="5" t="s">
        <v>944</v>
      </c>
      <c r="E245" s="8">
        <f>5125*2</f>
        <v>10250</v>
      </c>
      <c r="F245" s="5" t="s">
        <v>9</v>
      </c>
      <c r="G245" s="2" t="s">
        <v>21</v>
      </c>
    </row>
    <row r="246" spans="1:7" x14ac:dyDescent="0.25">
      <c r="A246" s="11">
        <v>227</v>
      </c>
      <c r="B246" s="5" t="s">
        <v>289</v>
      </c>
      <c r="C246" s="11">
        <v>95325472047</v>
      </c>
      <c r="D246" s="5" t="s">
        <v>290</v>
      </c>
      <c r="E246" s="8">
        <f>7500</f>
        <v>7500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737</v>
      </c>
      <c r="C247" s="11">
        <v>10765766984</v>
      </c>
      <c r="D247" s="5" t="s">
        <v>1609</v>
      </c>
      <c r="E247" s="8">
        <v>1463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246</v>
      </c>
      <c r="C248" s="11">
        <v>97994010225</v>
      </c>
      <c r="D248" s="5" t="s">
        <v>247</v>
      </c>
      <c r="E248" s="8">
        <f>10+661.99+1082.65</f>
        <v>1754.64</v>
      </c>
      <c r="F248" s="5" t="s">
        <v>9</v>
      </c>
      <c r="G248" s="2" t="s">
        <v>21</v>
      </c>
    </row>
    <row r="249" spans="1:7" x14ac:dyDescent="0.25">
      <c r="A249" s="11">
        <v>230</v>
      </c>
      <c r="B249" s="21" t="s">
        <v>262</v>
      </c>
      <c r="C249" s="22">
        <v>66181750806</v>
      </c>
      <c r="D249" s="21" t="s">
        <v>185</v>
      </c>
      <c r="E249" s="8">
        <f>1023.76+1297.78</f>
        <v>2321.54</v>
      </c>
      <c r="F249" s="5" t="s">
        <v>9</v>
      </c>
      <c r="G249" s="2" t="s">
        <v>263</v>
      </c>
    </row>
    <row r="250" spans="1:7" x14ac:dyDescent="0.25">
      <c r="A250" s="11">
        <v>231</v>
      </c>
      <c r="B250" s="5" t="s">
        <v>378</v>
      </c>
      <c r="C250" s="11">
        <v>54527841697</v>
      </c>
      <c r="D250" s="5" t="s">
        <v>389</v>
      </c>
      <c r="E250" s="8">
        <f>1346.25+4955+5176.25+756.25+606.25+2162.5</f>
        <v>15002.5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718</v>
      </c>
      <c r="C251" s="11">
        <v>57495737984</v>
      </c>
      <c r="D251" s="5" t="s">
        <v>719</v>
      </c>
      <c r="E251" s="8">
        <v>655.56</v>
      </c>
      <c r="F251" s="5" t="s">
        <v>9</v>
      </c>
      <c r="G251" s="2" t="s">
        <v>211</v>
      </c>
    </row>
    <row r="252" spans="1:7" x14ac:dyDescent="0.25">
      <c r="A252" s="11">
        <v>233</v>
      </c>
      <c r="B252" s="5" t="s">
        <v>458</v>
      </c>
      <c r="C252" s="11" t="s">
        <v>460</v>
      </c>
      <c r="D252" s="5" t="s">
        <v>459</v>
      </c>
      <c r="E252" s="8">
        <f>1847.2+15.9+3020.8</f>
        <v>4883.9000000000005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446</v>
      </c>
      <c r="C253" s="11" t="s">
        <v>448</v>
      </c>
      <c r="D253" s="5" t="s">
        <v>447</v>
      </c>
      <c r="E253" s="8">
        <v>460.05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592</v>
      </c>
      <c r="C254" s="11">
        <v>89102192044</v>
      </c>
      <c r="D254" s="5" t="s">
        <v>593</v>
      </c>
      <c r="E254" s="8">
        <f>280+300.43</f>
        <v>580.43000000000006</v>
      </c>
      <c r="F254" s="5" t="s">
        <v>9</v>
      </c>
      <c r="G254" s="2" t="s">
        <v>337</v>
      </c>
    </row>
    <row r="255" spans="1:7" x14ac:dyDescent="0.25">
      <c r="A255" s="11">
        <v>236</v>
      </c>
      <c r="B255" s="5" t="s">
        <v>309</v>
      </c>
      <c r="C255" s="11">
        <v>76147579166</v>
      </c>
      <c r="D255" s="5" t="s">
        <v>310</v>
      </c>
      <c r="E255" s="8">
        <f>63.5+358.64</f>
        <v>422.14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354</v>
      </c>
      <c r="C256" s="11">
        <v>79378753915</v>
      </c>
      <c r="D256" s="5" t="s">
        <v>355</v>
      </c>
      <c r="E256" s="8">
        <v>804.38</v>
      </c>
      <c r="F256" s="5" t="s">
        <v>9</v>
      </c>
      <c r="G256" s="2" t="s">
        <v>21</v>
      </c>
    </row>
    <row r="257" spans="1:7" x14ac:dyDescent="0.25">
      <c r="A257" s="11">
        <v>238</v>
      </c>
      <c r="B257" s="5" t="s">
        <v>616</v>
      </c>
      <c r="C257" s="12">
        <v>15140147538</v>
      </c>
      <c r="D257" s="5" t="s">
        <v>384</v>
      </c>
      <c r="E257" s="8">
        <f>1500+512.5+587.5+3000+2925+922.5+1640</f>
        <v>11087.5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305</v>
      </c>
      <c r="C258" s="11">
        <v>53785632625</v>
      </c>
      <c r="D258" s="5" t="s">
        <v>306</v>
      </c>
      <c r="E258" s="8">
        <f>2834.02+116.13+1524.38</f>
        <v>4474.5300000000007</v>
      </c>
      <c r="F258" s="5" t="s">
        <v>9</v>
      </c>
      <c r="G258" s="2" t="s">
        <v>21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110.13+2473.75+741.46</f>
        <v>3325.34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366</v>
      </c>
      <c r="C260" s="11">
        <v>22911773746</v>
      </c>
      <c r="D260" s="5" t="s">
        <v>367</v>
      </c>
      <c r="E260" s="8">
        <f>5735+6215+1980</f>
        <v>13930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137</v>
      </c>
      <c r="C261" s="12" t="s">
        <v>172</v>
      </c>
      <c r="D261" s="5" t="s">
        <v>171</v>
      </c>
      <c r="E261" s="8">
        <v>775.61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696</v>
      </c>
      <c r="C262" s="11">
        <v>51645411160</v>
      </c>
      <c r="D262" s="5" t="s">
        <v>697</v>
      </c>
      <c r="E262" s="8">
        <f>31.6</f>
        <v>31.6</v>
      </c>
      <c r="F262" s="5" t="s">
        <v>9</v>
      </c>
      <c r="G262" s="2" t="s">
        <v>21</v>
      </c>
    </row>
    <row r="263" spans="1:7" x14ac:dyDescent="0.25">
      <c r="A263" s="11">
        <v>244</v>
      </c>
      <c r="B263" s="40" t="s">
        <v>344</v>
      </c>
      <c r="C263" s="41">
        <v>50467974870</v>
      </c>
      <c r="D263" s="40" t="s">
        <v>345</v>
      </c>
      <c r="E263" s="8">
        <v>392.97</v>
      </c>
      <c r="F263" s="72" t="s">
        <v>9</v>
      </c>
      <c r="G263" s="2" t="s">
        <v>21</v>
      </c>
    </row>
    <row r="264" spans="1:7" x14ac:dyDescent="0.25">
      <c r="A264" s="11">
        <v>245</v>
      </c>
      <c r="B264" s="5" t="s">
        <v>264</v>
      </c>
      <c r="C264" s="11" t="s">
        <v>266</v>
      </c>
      <c r="D264" s="5" t="s">
        <v>265</v>
      </c>
      <c r="E264" s="8">
        <f>1332.95+2345.24</f>
        <v>3678.1899999999996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382</v>
      </c>
      <c r="C265" s="11">
        <v>38867318377</v>
      </c>
      <c r="D265" s="5" t="s">
        <v>383</v>
      </c>
      <c r="E265" s="8">
        <f>35.25</f>
        <v>35.25</v>
      </c>
      <c r="F265" s="5" t="s">
        <v>9</v>
      </c>
      <c r="G265" s="2" t="s">
        <v>21</v>
      </c>
    </row>
    <row r="266" spans="1:7" x14ac:dyDescent="0.25">
      <c r="A266" s="11">
        <v>247</v>
      </c>
      <c r="B266" s="5" t="s">
        <v>206</v>
      </c>
      <c r="C266" s="11">
        <v>64546066176</v>
      </c>
      <c r="D266" s="5" t="s">
        <v>207</v>
      </c>
      <c r="E266" s="8">
        <f>72.7+67.62+705.58+7.09+62.5</f>
        <v>915.49000000000012</v>
      </c>
      <c r="F266" s="5" t="s">
        <v>9</v>
      </c>
      <c r="G266" s="2" t="s">
        <v>21</v>
      </c>
    </row>
    <row r="267" spans="1:7" x14ac:dyDescent="0.25">
      <c r="A267" s="11">
        <v>248</v>
      </c>
      <c r="B267" s="5" t="s">
        <v>782</v>
      </c>
      <c r="C267" s="11">
        <v>44284514731</v>
      </c>
      <c r="D267" s="5" t="s">
        <v>783</v>
      </c>
      <c r="E267" s="8">
        <f>155.55+3619.4</f>
        <v>3774.9500000000003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430</v>
      </c>
      <c r="C268" s="11">
        <v>77170927797</v>
      </c>
      <c r="D268" s="5" t="s">
        <v>431</v>
      </c>
      <c r="E268" s="8">
        <f>31.23+74.25</f>
        <v>105.48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415</v>
      </c>
      <c r="C269" s="11">
        <v>31826907316</v>
      </c>
      <c r="D269" s="5" t="s">
        <v>416</v>
      </c>
      <c r="E269" s="8">
        <f>139.7+139.7+4110.56</f>
        <v>4389.96</v>
      </c>
      <c r="F269" s="5" t="s">
        <v>9</v>
      </c>
      <c r="G269" s="2" t="s">
        <v>21</v>
      </c>
    </row>
    <row r="270" spans="1:7" x14ac:dyDescent="0.25">
      <c r="A270" s="11">
        <v>251</v>
      </c>
      <c r="B270" s="19" t="s">
        <v>617</v>
      </c>
      <c r="C270" s="39">
        <v>13278612358</v>
      </c>
      <c r="D270" s="19" t="s">
        <v>618</v>
      </c>
      <c r="E270" s="8">
        <f>18.75+900+150+787.5+87.5+1062.5</f>
        <v>3006.25</v>
      </c>
      <c r="F270" s="5" t="s">
        <v>9</v>
      </c>
      <c r="G270" s="2" t="s">
        <v>178</v>
      </c>
    </row>
    <row r="271" spans="1:7" x14ac:dyDescent="0.25">
      <c r="A271" s="11">
        <v>252</v>
      </c>
      <c r="B271" s="5" t="s">
        <v>1222</v>
      </c>
      <c r="C271" s="11">
        <v>42113416920</v>
      </c>
      <c r="D271" s="5" t="s">
        <v>1223</v>
      </c>
      <c r="E271" s="8">
        <v>98.1</v>
      </c>
      <c r="F271" s="5" t="s">
        <v>9</v>
      </c>
      <c r="G271" s="2" t="s">
        <v>132</v>
      </c>
    </row>
    <row r="272" spans="1:7" x14ac:dyDescent="0.25">
      <c r="A272" s="11">
        <v>253</v>
      </c>
      <c r="B272" s="5" t="s">
        <v>1190</v>
      </c>
      <c r="C272" s="11">
        <v>95446773917</v>
      </c>
      <c r="D272" s="5" t="s">
        <v>1191</v>
      </c>
      <c r="E272" s="8">
        <f>974.48+824.63</f>
        <v>1799.1100000000001</v>
      </c>
      <c r="F272" s="5" t="s">
        <v>9</v>
      </c>
      <c r="G272" s="2" t="s">
        <v>178</v>
      </c>
    </row>
    <row r="273" spans="1:7" x14ac:dyDescent="0.25">
      <c r="A273" s="11">
        <v>254</v>
      </c>
      <c r="B273" s="5" t="s">
        <v>1462</v>
      </c>
      <c r="C273" s="11">
        <v>24726892997</v>
      </c>
      <c r="D273" s="5" t="s">
        <v>1463</v>
      </c>
      <c r="E273" s="8">
        <v>2.5</v>
      </c>
      <c r="F273" s="5" t="s">
        <v>9</v>
      </c>
      <c r="G273" s="2" t="s">
        <v>132</v>
      </c>
    </row>
    <row r="274" spans="1:7" x14ac:dyDescent="0.25">
      <c r="A274" s="11">
        <v>255</v>
      </c>
      <c r="B274" s="19" t="s">
        <v>1610</v>
      </c>
      <c r="C274" s="39" t="s">
        <v>1611</v>
      </c>
      <c r="D274" s="19" t="s">
        <v>1612</v>
      </c>
      <c r="E274" s="8">
        <v>9.73</v>
      </c>
      <c r="F274" s="5" t="s">
        <v>9</v>
      </c>
      <c r="G274" s="2" t="s">
        <v>211</v>
      </c>
    </row>
    <row r="275" spans="1:7" x14ac:dyDescent="0.25">
      <c r="A275" s="11">
        <v>256</v>
      </c>
      <c r="B275" s="19" t="s">
        <v>1613</v>
      </c>
      <c r="C275" s="33">
        <v>66685671808</v>
      </c>
      <c r="D275" s="19" t="s">
        <v>1614</v>
      </c>
      <c r="E275" s="8">
        <v>12.5</v>
      </c>
      <c r="F275" s="5" t="s">
        <v>9</v>
      </c>
      <c r="G275" s="2" t="s">
        <v>1069</v>
      </c>
    </row>
    <row r="276" spans="1:7" x14ac:dyDescent="0.25">
      <c r="A276" s="11">
        <v>257</v>
      </c>
      <c r="B276" s="19" t="s">
        <v>1280</v>
      </c>
      <c r="C276" s="33">
        <v>94167807411</v>
      </c>
      <c r="D276" s="19" t="s">
        <v>1281</v>
      </c>
      <c r="E276" s="8">
        <f>22.96+50.63</f>
        <v>73.59</v>
      </c>
      <c r="F276" s="5" t="s">
        <v>9</v>
      </c>
      <c r="G276" s="2" t="s">
        <v>21</v>
      </c>
    </row>
    <row r="277" spans="1:7" x14ac:dyDescent="0.25">
      <c r="A277" s="11">
        <v>258</v>
      </c>
      <c r="B277" s="5" t="s">
        <v>859</v>
      </c>
      <c r="C277" s="11">
        <v>80523849112</v>
      </c>
      <c r="D277" s="5" t="s">
        <v>860</v>
      </c>
      <c r="E277" s="8">
        <f>1377.75+507.4+406.85</f>
        <v>2292</v>
      </c>
      <c r="F277" s="5" t="s">
        <v>9</v>
      </c>
      <c r="G277" s="2" t="s">
        <v>21</v>
      </c>
    </row>
    <row r="278" spans="1:7" x14ac:dyDescent="0.25">
      <c r="A278" s="11">
        <v>259</v>
      </c>
      <c r="B278" s="5" t="s">
        <v>1522</v>
      </c>
      <c r="C278" s="12">
        <v>98887516063</v>
      </c>
      <c r="D278" s="5" t="s">
        <v>1523</v>
      </c>
      <c r="E278" s="8">
        <f>825.75</f>
        <v>825.75</v>
      </c>
      <c r="F278" s="5" t="s">
        <v>9</v>
      </c>
      <c r="G278" s="2" t="s">
        <v>21</v>
      </c>
    </row>
    <row r="279" spans="1:7" x14ac:dyDescent="0.25">
      <c r="A279" s="11">
        <v>260</v>
      </c>
      <c r="B279" s="5" t="s">
        <v>1285</v>
      </c>
      <c r="C279" s="11">
        <v>36365310424</v>
      </c>
      <c r="D279" s="5" t="s">
        <v>771</v>
      </c>
      <c r="E279" s="8">
        <v>264.7</v>
      </c>
      <c r="F279" s="5" t="s">
        <v>9</v>
      </c>
      <c r="G279" s="2" t="s">
        <v>21</v>
      </c>
    </row>
    <row r="280" spans="1:7" x14ac:dyDescent="0.25">
      <c r="A280" s="11">
        <v>261</v>
      </c>
      <c r="B280" s="5" t="s">
        <v>635</v>
      </c>
      <c r="C280" s="11">
        <v>76454212077</v>
      </c>
      <c r="D280" s="5" t="s">
        <v>636</v>
      </c>
      <c r="E280" s="8">
        <v>95</v>
      </c>
      <c r="F280" s="5" t="s">
        <v>9</v>
      </c>
      <c r="G280" s="2" t="s">
        <v>211</v>
      </c>
    </row>
    <row r="281" spans="1:7" x14ac:dyDescent="0.25">
      <c r="A281" s="11">
        <v>262</v>
      </c>
      <c r="B281" s="5" t="s">
        <v>424</v>
      </c>
      <c r="C281" s="11">
        <v>34761413470</v>
      </c>
      <c r="D281" s="5" t="s">
        <v>425</v>
      </c>
      <c r="E281" s="8">
        <v>4762.5</v>
      </c>
      <c r="F281" s="5" t="s">
        <v>9</v>
      </c>
      <c r="G281" s="2" t="s">
        <v>21</v>
      </c>
    </row>
    <row r="282" spans="1:7" x14ac:dyDescent="0.25">
      <c r="A282" s="11">
        <v>263</v>
      </c>
      <c r="B282" s="5" t="s">
        <v>677</v>
      </c>
      <c r="C282" s="11">
        <v>82941319525</v>
      </c>
      <c r="D282" s="5" t="s">
        <v>678</v>
      </c>
      <c r="E282" s="8">
        <v>1309.8800000000001</v>
      </c>
      <c r="F282" s="5" t="s">
        <v>9</v>
      </c>
      <c r="G282" s="2" t="s">
        <v>21</v>
      </c>
    </row>
    <row r="283" spans="1:7" x14ac:dyDescent="0.25">
      <c r="A283" s="11">
        <v>264</v>
      </c>
      <c r="B283" s="5" t="s">
        <v>339</v>
      </c>
      <c r="C283" s="12" t="s">
        <v>341</v>
      </c>
      <c r="D283" s="5" t="s">
        <v>340</v>
      </c>
      <c r="E283" s="8">
        <v>1042.58</v>
      </c>
      <c r="F283" s="5" t="s">
        <v>9</v>
      </c>
      <c r="G283" s="2" t="s">
        <v>337</v>
      </c>
    </row>
    <row r="284" spans="1:7" x14ac:dyDescent="0.25">
      <c r="A284" s="11">
        <v>265</v>
      </c>
      <c r="B284" s="5" t="s">
        <v>119</v>
      </c>
      <c r="C284" s="11">
        <v>55326209639</v>
      </c>
      <c r="D284" s="5" t="s">
        <v>158</v>
      </c>
      <c r="E284" s="8">
        <v>8.5</v>
      </c>
      <c r="F284" s="5" t="s">
        <v>9</v>
      </c>
      <c r="G284" s="2" t="s">
        <v>21</v>
      </c>
    </row>
    <row r="285" spans="1:7" x14ac:dyDescent="0.25">
      <c r="A285" s="11">
        <v>266</v>
      </c>
      <c r="B285" s="5" t="s">
        <v>1072</v>
      </c>
      <c r="C285" s="12" t="s">
        <v>1073</v>
      </c>
      <c r="D285" s="5" t="s">
        <v>1074</v>
      </c>
      <c r="E285" s="8">
        <f>844.52+2000</f>
        <v>2844.52</v>
      </c>
      <c r="F285" s="5" t="s">
        <v>9</v>
      </c>
      <c r="G285" s="2" t="s">
        <v>21</v>
      </c>
    </row>
    <row r="286" spans="1:7" x14ac:dyDescent="0.25">
      <c r="A286" s="11">
        <v>267</v>
      </c>
      <c r="B286" s="5" t="s">
        <v>191</v>
      </c>
      <c r="C286" s="11">
        <v>46289034988</v>
      </c>
      <c r="D286" s="5" t="s">
        <v>193</v>
      </c>
      <c r="E286" s="8">
        <f>3055+3293.13+915.38</f>
        <v>7263.51</v>
      </c>
      <c r="F286" s="5" t="s">
        <v>9</v>
      </c>
      <c r="G286" s="2" t="s">
        <v>192</v>
      </c>
    </row>
    <row r="287" spans="1:7" x14ac:dyDescent="0.25">
      <c r="A287" s="11">
        <v>268</v>
      </c>
      <c r="B287" s="5" t="s">
        <v>449</v>
      </c>
      <c r="C287" s="11" t="s">
        <v>450</v>
      </c>
      <c r="D287" s="5" t="s">
        <v>451</v>
      </c>
      <c r="E287" s="8">
        <f>2*3200</f>
        <v>6400</v>
      </c>
      <c r="F287" s="5" t="s">
        <v>9</v>
      </c>
      <c r="G287" s="2" t="s">
        <v>21</v>
      </c>
    </row>
    <row r="288" spans="1:7" x14ac:dyDescent="0.25">
      <c r="A288" s="11">
        <v>269</v>
      </c>
      <c r="B288" s="30" t="s">
        <v>478</v>
      </c>
      <c r="C288" s="38" t="s">
        <v>479</v>
      </c>
      <c r="D288" s="30" t="s">
        <v>480</v>
      </c>
      <c r="E288" s="17">
        <f>1011</f>
        <v>1011</v>
      </c>
      <c r="F288" s="30" t="s">
        <v>9</v>
      </c>
      <c r="G288" s="31" t="s">
        <v>144</v>
      </c>
    </row>
    <row r="289" spans="1:7" x14ac:dyDescent="0.25">
      <c r="A289" s="11">
        <v>270</v>
      </c>
      <c r="B289" s="5" t="s">
        <v>1615</v>
      </c>
      <c r="C289" s="12" t="s">
        <v>1616</v>
      </c>
      <c r="D289" s="5" t="s">
        <v>1617</v>
      </c>
      <c r="E289" s="8">
        <v>3600</v>
      </c>
      <c r="F289" s="5" t="s">
        <v>9</v>
      </c>
      <c r="G289" s="2" t="s">
        <v>349</v>
      </c>
    </row>
    <row r="290" spans="1:7" x14ac:dyDescent="0.25">
      <c r="A290" s="11">
        <v>271</v>
      </c>
      <c r="B290" s="5" t="s">
        <v>1618</v>
      </c>
      <c r="C290" s="12">
        <v>50763639153</v>
      </c>
      <c r="D290" s="5" t="s">
        <v>1619</v>
      </c>
      <c r="E290" s="8">
        <v>6700</v>
      </c>
      <c r="F290" s="5" t="s">
        <v>9</v>
      </c>
      <c r="G290" s="2" t="s">
        <v>1620</v>
      </c>
    </row>
    <row r="291" spans="1:7" x14ac:dyDescent="0.25">
      <c r="A291" s="11">
        <v>272</v>
      </c>
      <c r="B291" s="5" t="s">
        <v>1621</v>
      </c>
      <c r="C291" s="12">
        <v>22131573579</v>
      </c>
      <c r="D291" s="5" t="s">
        <v>1622</v>
      </c>
      <c r="E291" s="8">
        <v>500</v>
      </c>
      <c r="F291" s="5" t="s">
        <v>9</v>
      </c>
      <c r="G291" s="2" t="s">
        <v>1620</v>
      </c>
    </row>
    <row r="292" spans="1:7" x14ac:dyDescent="0.25">
      <c r="A292" s="11">
        <v>273</v>
      </c>
      <c r="B292" s="5" t="s">
        <v>1623</v>
      </c>
      <c r="C292" s="11">
        <v>99944170669</v>
      </c>
      <c r="D292" s="5" t="s">
        <v>1624</v>
      </c>
      <c r="E292" s="8">
        <v>160</v>
      </c>
      <c r="F292" s="5" t="s">
        <v>9</v>
      </c>
      <c r="G292" s="2" t="s">
        <v>349</v>
      </c>
    </row>
    <row r="293" spans="1:7" x14ac:dyDescent="0.25">
      <c r="A293" s="11">
        <v>274</v>
      </c>
      <c r="B293" s="5" t="s">
        <v>902</v>
      </c>
      <c r="C293" s="12" t="s">
        <v>903</v>
      </c>
      <c r="D293" s="5" t="s">
        <v>904</v>
      </c>
      <c r="E293" s="8">
        <v>943.75</v>
      </c>
      <c r="F293" s="5" t="s">
        <v>9</v>
      </c>
      <c r="G293" s="2" t="s">
        <v>21</v>
      </c>
    </row>
    <row r="294" spans="1:7" x14ac:dyDescent="0.25">
      <c r="A294" s="11">
        <v>275</v>
      </c>
      <c r="B294" s="5" t="s">
        <v>1511</v>
      </c>
      <c r="C294" s="12">
        <v>32874587842</v>
      </c>
      <c r="D294" s="5" t="s">
        <v>1512</v>
      </c>
      <c r="E294" s="8">
        <f>198.28*2</f>
        <v>396.56</v>
      </c>
      <c r="F294" s="5" t="s">
        <v>9</v>
      </c>
      <c r="G294" s="2" t="s">
        <v>211</v>
      </c>
    </row>
    <row r="295" spans="1:7" x14ac:dyDescent="0.25">
      <c r="A295" s="11">
        <v>276</v>
      </c>
      <c r="B295" s="5" t="s">
        <v>1625</v>
      </c>
      <c r="C295" s="12">
        <v>85828625994</v>
      </c>
      <c r="D295" s="5" t="s">
        <v>323</v>
      </c>
      <c r="E295" s="8">
        <v>8.02</v>
      </c>
      <c r="F295" s="5" t="s">
        <v>9</v>
      </c>
      <c r="G295" s="2" t="s">
        <v>318</v>
      </c>
    </row>
    <row r="296" spans="1:7" x14ac:dyDescent="0.25">
      <c r="A296" s="11">
        <v>277</v>
      </c>
      <c r="B296" s="5" t="s">
        <v>117</v>
      </c>
      <c r="C296" s="11">
        <v>19422090987</v>
      </c>
      <c r="D296" s="5" t="s">
        <v>155</v>
      </c>
      <c r="E296" s="8">
        <f>1416.08</f>
        <v>1416.08</v>
      </c>
      <c r="F296" s="5" t="s">
        <v>9</v>
      </c>
      <c r="G296" s="2" t="s">
        <v>21</v>
      </c>
    </row>
    <row r="297" spans="1:7" x14ac:dyDescent="0.25">
      <c r="A297" s="11">
        <v>278</v>
      </c>
      <c r="B297" s="5" t="s">
        <v>332</v>
      </c>
      <c r="C297" s="11">
        <v>92839607312</v>
      </c>
      <c r="D297" s="5" t="s">
        <v>333</v>
      </c>
      <c r="E297" s="8">
        <f>846+1415.48+7477.5+2231.81+630.5</f>
        <v>12601.289999999999</v>
      </c>
      <c r="F297" s="5" t="s">
        <v>9</v>
      </c>
      <c r="G297" s="2" t="s">
        <v>21</v>
      </c>
    </row>
    <row r="298" spans="1:7" x14ac:dyDescent="0.25">
      <c r="A298" s="11">
        <v>279</v>
      </c>
      <c r="B298" s="5" t="s">
        <v>86</v>
      </c>
      <c r="C298" s="12" t="s">
        <v>88</v>
      </c>
      <c r="D298" s="5" t="s">
        <v>89</v>
      </c>
      <c r="E298" s="8">
        <f>2*1161.65</f>
        <v>2323.3000000000002</v>
      </c>
      <c r="F298" s="5" t="s">
        <v>9</v>
      </c>
      <c r="G298" s="2" t="s">
        <v>87</v>
      </c>
    </row>
    <row r="299" spans="1:7" x14ac:dyDescent="0.25">
      <c r="A299" s="11">
        <v>280</v>
      </c>
      <c r="B299" s="5" t="s">
        <v>183</v>
      </c>
      <c r="C299" s="11">
        <v>26004523816</v>
      </c>
      <c r="D299" s="5" t="s">
        <v>185</v>
      </c>
      <c r="E299" s="8">
        <f>73.08+568.38</f>
        <v>641.46</v>
      </c>
      <c r="F299" s="5" t="s">
        <v>9</v>
      </c>
      <c r="G299" s="2" t="s">
        <v>21</v>
      </c>
    </row>
    <row r="300" spans="1:7" x14ac:dyDescent="0.25">
      <c r="A300" s="11">
        <v>281</v>
      </c>
      <c r="B300" s="5" t="s">
        <v>807</v>
      </c>
      <c r="C300" s="11">
        <v>95449332614</v>
      </c>
      <c r="D300" s="5" t="s">
        <v>808</v>
      </c>
      <c r="E300" s="8">
        <v>80</v>
      </c>
      <c r="F300" s="5" t="s">
        <v>9</v>
      </c>
      <c r="G300" s="2" t="s">
        <v>21</v>
      </c>
    </row>
    <row r="301" spans="1:7" x14ac:dyDescent="0.25">
      <c r="A301" s="11">
        <v>282</v>
      </c>
      <c r="B301" s="5" t="s">
        <v>1367</v>
      </c>
      <c r="C301" s="12" t="s">
        <v>1368</v>
      </c>
      <c r="D301" s="5" t="s">
        <v>1369</v>
      </c>
      <c r="E301" s="8">
        <v>95</v>
      </c>
      <c r="F301" s="5" t="s">
        <v>9</v>
      </c>
      <c r="G301" s="2" t="s">
        <v>1069</v>
      </c>
    </row>
    <row r="302" spans="1:7" x14ac:dyDescent="0.25">
      <c r="A302" s="11">
        <v>283</v>
      </c>
      <c r="B302" s="5" t="s">
        <v>519</v>
      </c>
      <c r="C302" s="11">
        <v>64634216475</v>
      </c>
      <c r="D302" s="5" t="s">
        <v>520</v>
      </c>
      <c r="E302" s="8">
        <v>307.35000000000002</v>
      </c>
      <c r="F302" s="5" t="s">
        <v>9</v>
      </c>
      <c r="G302" s="2" t="s">
        <v>21</v>
      </c>
    </row>
    <row r="303" spans="1:7" x14ac:dyDescent="0.25">
      <c r="A303" s="11">
        <v>284</v>
      </c>
      <c r="B303" s="5" t="s">
        <v>786</v>
      </c>
      <c r="C303" s="11">
        <v>84082732674</v>
      </c>
      <c r="D303" s="5" t="s">
        <v>787</v>
      </c>
      <c r="E303" s="8">
        <v>865</v>
      </c>
      <c r="F303" s="5" t="s">
        <v>9</v>
      </c>
      <c r="G303" s="2" t="s">
        <v>318</v>
      </c>
    </row>
    <row r="304" spans="1:7" x14ac:dyDescent="0.25">
      <c r="A304" s="11">
        <v>285</v>
      </c>
      <c r="B304" s="5" t="s">
        <v>557</v>
      </c>
      <c r="C304" s="11">
        <v>35140755222</v>
      </c>
      <c r="D304" s="5" t="s">
        <v>558</v>
      </c>
      <c r="E304" s="8">
        <v>436.5</v>
      </c>
      <c r="F304" s="5" t="s">
        <v>9</v>
      </c>
      <c r="G304" s="2" t="s">
        <v>21</v>
      </c>
    </row>
    <row r="305" spans="1:7" x14ac:dyDescent="0.25">
      <c r="A305" s="11">
        <v>286</v>
      </c>
      <c r="B305" s="5" t="s">
        <v>15</v>
      </c>
      <c r="C305" s="11" t="s">
        <v>15</v>
      </c>
      <c r="D305" s="5" t="s">
        <v>15</v>
      </c>
      <c r="E305" s="8">
        <v>112.56</v>
      </c>
      <c r="F305" s="5" t="s">
        <v>9</v>
      </c>
      <c r="G305" s="2" t="s">
        <v>700</v>
      </c>
    </row>
    <row r="306" spans="1:7" x14ac:dyDescent="0.25">
      <c r="A306" s="11">
        <v>287</v>
      </c>
      <c r="B306" s="5" t="s">
        <v>1626</v>
      </c>
      <c r="C306" s="11" t="s">
        <v>1627</v>
      </c>
      <c r="D306" s="5" t="s">
        <v>1628</v>
      </c>
      <c r="E306" s="8">
        <v>2480.96</v>
      </c>
      <c r="F306" s="5" t="s">
        <v>9</v>
      </c>
      <c r="G306" s="2" t="s">
        <v>64</v>
      </c>
    </row>
    <row r="307" spans="1:7" x14ac:dyDescent="0.25">
      <c r="A307" s="11">
        <v>288</v>
      </c>
      <c r="B307" s="5" t="s">
        <v>552</v>
      </c>
      <c r="C307" s="11" t="s">
        <v>302</v>
      </c>
      <c r="D307" s="5" t="s">
        <v>1629</v>
      </c>
      <c r="E307" s="8">
        <v>1294.99</v>
      </c>
      <c r="F307" s="5" t="s">
        <v>9</v>
      </c>
      <c r="G307" s="2" t="s">
        <v>21</v>
      </c>
    </row>
    <row r="308" spans="1:7" x14ac:dyDescent="0.25">
      <c r="A308" s="11">
        <v>289</v>
      </c>
      <c r="B308" s="5" t="s">
        <v>562</v>
      </c>
      <c r="C308" s="11">
        <v>38001831721</v>
      </c>
      <c r="D308" s="5" t="s">
        <v>563</v>
      </c>
      <c r="E308" s="8">
        <f>100+100</f>
        <v>200</v>
      </c>
      <c r="F308" s="5" t="s">
        <v>9</v>
      </c>
      <c r="G308" s="2" t="s">
        <v>564</v>
      </c>
    </row>
    <row r="309" spans="1:7" x14ac:dyDescent="0.25">
      <c r="A309" s="11">
        <v>290</v>
      </c>
      <c r="B309" s="5" t="s">
        <v>1520</v>
      </c>
      <c r="C309" s="12">
        <v>26690995530</v>
      </c>
      <c r="D309" s="5" t="s">
        <v>1521</v>
      </c>
      <c r="E309" s="8">
        <v>4937</v>
      </c>
      <c r="F309" s="5" t="s">
        <v>9</v>
      </c>
      <c r="G309" s="2" t="s">
        <v>255</v>
      </c>
    </row>
    <row r="310" spans="1:7" x14ac:dyDescent="0.25">
      <c r="A310" s="11">
        <v>291</v>
      </c>
      <c r="B310" s="5" t="s">
        <v>580</v>
      </c>
      <c r="C310" s="11">
        <v>98164456048</v>
      </c>
      <c r="D310" s="5" t="s">
        <v>581</v>
      </c>
      <c r="E310" s="8">
        <f>2*1624.95</f>
        <v>3249.9</v>
      </c>
      <c r="F310" s="5" t="s">
        <v>9</v>
      </c>
      <c r="G310" s="2" t="s">
        <v>138</v>
      </c>
    </row>
    <row r="311" spans="1:7" x14ac:dyDescent="0.25">
      <c r="A311" s="11">
        <v>292</v>
      </c>
      <c r="B311" s="30" t="s">
        <v>850</v>
      </c>
      <c r="C311" s="34">
        <v>18545665005</v>
      </c>
      <c r="D311" s="30" t="s">
        <v>352</v>
      </c>
      <c r="E311" s="17">
        <f>1650+3700+2800</f>
        <v>8150</v>
      </c>
      <c r="F311" s="30" t="s">
        <v>9</v>
      </c>
      <c r="G311" s="31" t="s">
        <v>21</v>
      </c>
    </row>
    <row r="312" spans="1:7" ht="3.75" customHeight="1" x14ac:dyDescent="0.25">
      <c r="A312" s="11"/>
      <c r="B312" s="5"/>
      <c r="C312" s="11"/>
      <c r="D312" s="5"/>
      <c r="E312" s="8"/>
      <c r="F312" s="5"/>
      <c r="G312" s="2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53" t="s">
        <v>1630</v>
      </c>
      <c r="E314" s="63">
        <f>SUM(E11:E312)</f>
        <v>3150312.2699999982</v>
      </c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  <row r="318" spans="1:7" x14ac:dyDescent="0.25">
      <c r="A318" s="10"/>
      <c r="B318" s="1"/>
      <c r="C318" s="10"/>
      <c r="D318" s="1"/>
      <c r="E318" s="13"/>
      <c r="F318" s="1"/>
      <c r="G318" s="1"/>
    </row>
    <row r="319" spans="1:7" x14ac:dyDescent="0.25">
      <c r="A319" s="10"/>
      <c r="B319" s="1"/>
      <c r="C319" s="10"/>
      <c r="D319" s="1"/>
      <c r="E319" s="13"/>
      <c r="F319" s="1"/>
      <c r="G319" s="1"/>
    </row>
    <row r="320" spans="1:7" x14ac:dyDescent="0.25">
      <c r="A320" s="10"/>
      <c r="B320" s="1"/>
      <c r="C320" s="10"/>
      <c r="D320" s="1"/>
      <c r="E320" s="13"/>
      <c r="F320" s="1"/>
      <c r="G320" s="1"/>
    </row>
  </sheetData>
  <sheetProtection algorithmName="SHA-512" hashValue="0vXyaix1ikc1zoDxvRQkyCA7sgVxUFMspPOJw6Sw+sdGnMyNboFRIWvFvzSD3L260d12Y+Ypy7AfunVq17IMoQ==" saltValue="ROenNT5FRyjXJAysq5KKUg==" spinCount="100000" sheet="1" objects="1" scenarios="1" selectLockedCells="1" autoFilter="0" selectUnlockedCells="1"/>
  <autoFilter ref="A10:G311" xr:uid="{C0B63546-C3B8-4763-B493-421E14D998E2}"/>
  <mergeCells count="48">
    <mergeCell ref="A201:A202"/>
    <mergeCell ref="B201:B202"/>
    <mergeCell ref="C201:C202"/>
    <mergeCell ref="D201:D202"/>
    <mergeCell ref="F201:F202"/>
    <mergeCell ref="A234:A235"/>
    <mergeCell ref="B234:B235"/>
    <mergeCell ref="C234:C235"/>
    <mergeCell ref="D234:D235"/>
    <mergeCell ref="F234:F235"/>
    <mergeCell ref="A85:A86"/>
    <mergeCell ref="B85:B86"/>
    <mergeCell ref="C85:C86"/>
    <mergeCell ref="D85:D86"/>
    <mergeCell ref="F85:F86"/>
    <mergeCell ref="A125:A126"/>
    <mergeCell ref="B125:B126"/>
    <mergeCell ref="C125:C126"/>
    <mergeCell ref="D125:D126"/>
    <mergeCell ref="F125:F126"/>
    <mergeCell ref="A61:A62"/>
    <mergeCell ref="B61:B62"/>
    <mergeCell ref="C61:C62"/>
    <mergeCell ref="D61:D62"/>
    <mergeCell ref="F61:F62"/>
    <mergeCell ref="A73:A74"/>
    <mergeCell ref="B73:B74"/>
    <mergeCell ref="C73:C74"/>
    <mergeCell ref="D73:D74"/>
    <mergeCell ref="F73:F74"/>
    <mergeCell ref="A37:A38"/>
    <mergeCell ref="B37:B38"/>
    <mergeCell ref="C37:C38"/>
    <mergeCell ref="D37:D38"/>
    <mergeCell ref="F37:F38"/>
    <mergeCell ref="A48:A49"/>
    <mergeCell ref="B48:B49"/>
    <mergeCell ref="C48:C49"/>
    <mergeCell ref="D48:D49"/>
    <mergeCell ref="F48:F4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E8C1-3237-46AA-8877-A0B75CB52B68}">
  <dimension ref="A1:G250"/>
  <sheetViews>
    <sheetView topLeftCell="A215" workbookViewId="0">
      <selection activeCell="J26" sqref="J2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1631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1106</v>
      </c>
      <c r="C12" s="11">
        <v>56822948795</v>
      </c>
      <c r="D12" s="5" t="s">
        <v>1107</v>
      </c>
      <c r="E12" s="8">
        <f>215</f>
        <v>215</v>
      </c>
      <c r="F12" s="5" t="s">
        <v>9</v>
      </c>
      <c r="G12" s="2" t="s">
        <v>349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51.9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734</v>
      </c>
      <c r="C14" s="11">
        <v>66734484850</v>
      </c>
      <c r="D14" s="5" t="s">
        <v>735</v>
      </c>
      <c r="E14" s="8">
        <v>3222.73</v>
      </c>
      <c r="F14" s="5" t="s">
        <v>9</v>
      </c>
      <c r="G14" s="2" t="s">
        <v>453</v>
      </c>
    </row>
    <row r="15" spans="1:7" x14ac:dyDescent="0.25">
      <c r="A15" s="11">
        <v>5</v>
      </c>
      <c r="B15" s="5" t="s">
        <v>1632</v>
      </c>
      <c r="C15" s="11">
        <v>32695935393</v>
      </c>
      <c r="D15" s="5" t="s">
        <v>1633</v>
      </c>
      <c r="E15" s="8">
        <f>600+968.75</f>
        <v>1568.75</v>
      </c>
      <c r="F15" s="5" t="s">
        <v>9</v>
      </c>
      <c r="G15" s="2" t="s">
        <v>211</v>
      </c>
    </row>
    <row r="16" spans="1:7" x14ac:dyDescent="0.25">
      <c r="A16" s="11">
        <v>6</v>
      </c>
      <c r="B16" s="5" t="s">
        <v>1634</v>
      </c>
      <c r="C16" s="12">
        <v>21266239879</v>
      </c>
      <c r="D16" s="9" t="s">
        <v>1635</v>
      </c>
      <c r="E16" s="8">
        <v>367.5</v>
      </c>
      <c r="F16" s="5" t="s">
        <v>9</v>
      </c>
      <c r="G16" s="2" t="s">
        <v>21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307.61+2.16</f>
        <v>309.77000000000004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1482</v>
      </c>
      <c r="C19" s="11" t="s">
        <v>1483</v>
      </c>
      <c r="D19" s="5" t="s">
        <v>1484</v>
      </c>
      <c r="E19" s="8">
        <v>7863.46</v>
      </c>
      <c r="F19" s="5" t="s">
        <v>9</v>
      </c>
      <c r="G19" s="2" t="s">
        <v>116</v>
      </c>
    </row>
    <row r="20" spans="1:7" x14ac:dyDescent="0.25">
      <c r="A20" s="11">
        <v>10</v>
      </c>
      <c r="B20" s="5" t="s">
        <v>1393</v>
      </c>
      <c r="C20" s="11">
        <v>42821181683</v>
      </c>
      <c r="D20" s="5" t="s">
        <v>1394</v>
      </c>
      <c r="E20" s="8">
        <v>643.79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1494528.17</f>
        <v>1494528.17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334</v>
      </c>
      <c r="C22" s="11">
        <v>25712329343</v>
      </c>
      <c r="D22" s="5" t="s">
        <v>335</v>
      </c>
      <c r="E22" s="8">
        <f>90+130.16</f>
        <v>220.16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11.1+1538.95</f>
        <v>1550.05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300+700</f>
        <v>1000</v>
      </c>
      <c r="F24" s="5" t="s">
        <v>9</v>
      </c>
      <c r="G24" s="2" t="s">
        <v>691</v>
      </c>
    </row>
    <row r="25" spans="1:7" x14ac:dyDescent="0.25">
      <c r="A25" s="11">
        <v>15</v>
      </c>
      <c r="B25" s="19" t="s">
        <v>216</v>
      </c>
      <c r="C25" s="33">
        <v>72836081238</v>
      </c>
      <c r="D25" s="19" t="s">
        <v>217</v>
      </c>
      <c r="E25" s="15">
        <f>2612.5+5000+2837.5</f>
        <v>10450</v>
      </c>
      <c r="F25" s="19" t="s">
        <v>9</v>
      </c>
      <c r="G25" s="26" t="s">
        <v>21</v>
      </c>
    </row>
    <row r="26" spans="1:7" x14ac:dyDescent="0.25">
      <c r="A26" s="11">
        <v>16</v>
      </c>
      <c r="B26" s="19" t="s">
        <v>1636</v>
      </c>
      <c r="C26" s="33">
        <v>30141171041</v>
      </c>
      <c r="D26" s="19" t="s">
        <v>1637</v>
      </c>
      <c r="E26" s="15">
        <v>1125</v>
      </c>
      <c r="F26" s="21" t="s">
        <v>9</v>
      </c>
      <c r="G26" s="26" t="s">
        <v>349</v>
      </c>
    </row>
    <row r="27" spans="1:7" x14ac:dyDescent="0.25">
      <c r="A27" s="11">
        <v>17</v>
      </c>
      <c r="B27" s="40" t="s">
        <v>393</v>
      </c>
      <c r="C27" s="41">
        <v>66253945791</v>
      </c>
      <c r="D27" s="40" t="s">
        <v>50</v>
      </c>
      <c r="E27" s="8">
        <f>20000+107809.35+20000</f>
        <v>147809.35</v>
      </c>
      <c r="F27" s="72" t="s">
        <v>9</v>
      </c>
      <c r="G27" s="2" t="s">
        <v>41</v>
      </c>
    </row>
    <row r="28" spans="1:7" x14ac:dyDescent="0.25">
      <c r="A28" s="11">
        <v>18</v>
      </c>
      <c r="B28" s="19" t="s">
        <v>42</v>
      </c>
      <c r="C28" s="33">
        <v>63073332379</v>
      </c>
      <c r="D28" s="19" t="s">
        <v>52</v>
      </c>
      <c r="E28" s="15">
        <v>5074.62</v>
      </c>
      <c r="F28" s="19" t="s">
        <v>9</v>
      </c>
      <c r="G28" s="26" t="s">
        <v>44</v>
      </c>
    </row>
    <row r="29" spans="1:7" x14ac:dyDescent="0.25">
      <c r="A29" s="11">
        <v>19</v>
      </c>
      <c r="B29" s="5" t="s">
        <v>503</v>
      </c>
      <c r="C29" s="11">
        <v>27712717103</v>
      </c>
      <c r="D29" s="5" t="s">
        <v>504</v>
      </c>
      <c r="E29" s="8">
        <f>5855.63*2</f>
        <v>11711.26</v>
      </c>
      <c r="F29" s="40" t="s">
        <v>9</v>
      </c>
      <c r="G29" s="2" t="s">
        <v>64</v>
      </c>
    </row>
    <row r="30" spans="1:7" ht="15.75" thickBot="1" x14ac:dyDescent="0.3">
      <c r="A30" s="11">
        <v>20</v>
      </c>
      <c r="B30" s="5" t="s">
        <v>440</v>
      </c>
      <c r="C30" s="11">
        <v>44270699963</v>
      </c>
      <c r="D30" s="5" t="s">
        <v>441</v>
      </c>
      <c r="E30" s="18">
        <v>46.37</v>
      </c>
      <c r="F30" s="32" t="s">
        <v>9</v>
      </c>
      <c r="G30" s="29" t="s">
        <v>84</v>
      </c>
    </row>
    <row r="31" spans="1:7" x14ac:dyDescent="0.25">
      <c r="A31" s="74">
        <v>21</v>
      </c>
      <c r="B31" s="76" t="s">
        <v>55</v>
      </c>
      <c r="C31" s="74">
        <v>11471889269</v>
      </c>
      <c r="D31" s="76" t="s">
        <v>56</v>
      </c>
      <c r="E31" s="16">
        <v>13798.42</v>
      </c>
      <c r="F31" s="76" t="s">
        <v>9</v>
      </c>
      <c r="G31" s="28" t="s">
        <v>41</v>
      </c>
    </row>
    <row r="32" spans="1:7" ht="15.75" thickBot="1" x14ac:dyDescent="0.3">
      <c r="A32" s="80"/>
      <c r="B32" s="79"/>
      <c r="C32" s="80"/>
      <c r="D32" s="79"/>
      <c r="E32" s="15">
        <f>20000+9000+22267.8</f>
        <v>51267.8</v>
      </c>
      <c r="F32" s="79"/>
      <c r="G32" s="26" t="s">
        <v>21</v>
      </c>
    </row>
    <row r="33" spans="1:7" x14ac:dyDescent="0.25">
      <c r="A33" s="74">
        <v>22</v>
      </c>
      <c r="B33" s="76" t="s">
        <v>57</v>
      </c>
      <c r="C33" s="74">
        <v>27759560625</v>
      </c>
      <c r="D33" s="76" t="s">
        <v>59</v>
      </c>
      <c r="E33" s="16">
        <v>493.45</v>
      </c>
      <c r="F33" s="76" t="s">
        <v>9</v>
      </c>
      <c r="G33" s="28" t="s">
        <v>21</v>
      </c>
    </row>
    <row r="34" spans="1:7" ht="15.75" thickBot="1" x14ac:dyDescent="0.3">
      <c r="A34" s="75"/>
      <c r="B34" s="77"/>
      <c r="C34" s="75"/>
      <c r="D34" s="77"/>
      <c r="E34" s="18">
        <v>6150.34</v>
      </c>
      <c r="F34" s="77"/>
      <c r="G34" s="29" t="s">
        <v>58</v>
      </c>
    </row>
    <row r="35" spans="1:7" x14ac:dyDescent="0.25">
      <c r="A35" s="34">
        <v>23</v>
      </c>
      <c r="B35" s="5" t="s">
        <v>1638</v>
      </c>
      <c r="C35" s="11">
        <v>24919984448</v>
      </c>
      <c r="D35" s="5" t="s">
        <v>1639</v>
      </c>
      <c r="E35" s="8">
        <v>1466.88</v>
      </c>
      <c r="F35" s="5" t="s">
        <v>9</v>
      </c>
      <c r="G35" s="31" t="s">
        <v>349</v>
      </c>
    </row>
    <row r="36" spans="1:7" x14ac:dyDescent="0.25">
      <c r="A36" s="34">
        <v>24</v>
      </c>
      <c r="B36" s="5" t="s">
        <v>126</v>
      </c>
      <c r="C36" s="11">
        <v>62534176727</v>
      </c>
      <c r="D36" s="5" t="s">
        <v>163</v>
      </c>
      <c r="E36" s="8">
        <f>1845</f>
        <v>1845</v>
      </c>
      <c r="F36" s="5" t="s">
        <v>9</v>
      </c>
      <c r="G36" s="2" t="s">
        <v>21</v>
      </c>
    </row>
    <row r="37" spans="1:7" x14ac:dyDescent="0.25">
      <c r="A37" s="34">
        <v>25</v>
      </c>
      <c r="B37" s="5" t="s">
        <v>72</v>
      </c>
      <c r="C37" s="11" t="s">
        <v>15</v>
      </c>
      <c r="D37" s="5" t="s">
        <v>15</v>
      </c>
      <c r="E37" s="8">
        <v>310.24</v>
      </c>
      <c r="F37" s="5" t="s">
        <v>9</v>
      </c>
      <c r="G37" s="2" t="s">
        <v>71</v>
      </c>
    </row>
    <row r="38" spans="1:7" x14ac:dyDescent="0.25">
      <c r="A38" s="34">
        <v>26</v>
      </c>
      <c r="B38" s="5" t="s">
        <v>15</v>
      </c>
      <c r="C38" s="11" t="s">
        <v>15</v>
      </c>
      <c r="D38" s="5" t="s">
        <v>15</v>
      </c>
      <c r="E38" s="8">
        <v>8460</v>
      </c>
      <c r="F38" s="5" t="s">
        <v>9</v>
      </c>
      <c r="G38" s="2" t="s">
        <v>73</v>
      </c>
    </row>
    <row r="39" spans="1:7" x14ac:dyDescent="0.25">
      <c r="A39" s="34">
        <v>27</v>
      </c>
      <c r="B39" s="5" t="s">
        <v>422</v>
      </c>
      <c r="C39" s="11">
        <v>33813961569</v>
      </c>
      <c r="D39" s="5" t="s">
        <v>423</v>
      </c>
      <c r="E39" s="8">
        <f>4.31</f>
        <v>4.3099999999999996</v>
      </c>
      <c r="F39" s="5" t="s">
        <v>9</v>
      </c>
      <c r="G39" s="2" t="s">
        <v>84</v>
      </c>
    </row>
    <row r="40" spans="1:7" x14ac:dyDescent="0.25">
      <c r="A40" s="34">
        <v>28</v>
      </c>
      <c r="B40" s="5" t="s">
        <v>555</v>
      </c>
      <c r="C40" s="11">
        <v>99080771351</v>
      </c>
      <c r="D40" s="5" t="s">
        <v>556</v>
      </c>
      <c r="E40" s="8">
        <f>2000+1795.35</f>
        <v>3795.35</v>
      </c>
      <c r="F40" s="5" t="s">
        <v>9</v>
      </c>
      <c r="G40" s="2" t="s">
        <v>21</v>
      </c>
    </row>
    <row r="41" spans="1:7" x14ac:dyDescent="0.25">
      <c r="A41" s="34">
        <v>29</v>
      </c>
      <c r="B41" s="5" t="s">
        <v>81</v>
      </c>
      <c r="C41" s="11">
        <v>32179081874</v>
      </c>
      <c r="D41" s="5" t="s">
        <v>82</v>
      </c>
      <c r="E41" s="15">
        <f>2494.84+2430.63+79.56+130.67</f>
        <v>5135.7000000000007</v>
      </c>
      <c r="F41" s="19" t="s">
        <v>9</v>
      </c>
      <c r="G41" s="26" t="s">
        <v>21</v>
      </c>
    </row>
    <row r="42" spans="1:7" ht="15.75" thickBot="1" x14ac:dyDescent="0.3">
      <c r="A42" s="34">
        <v>30</v>
      </c>
      <c r="B42" s="21" t="s">
        <v>85</v>
      </c>
      <c r="C42" s="22">
        <v>76173743169</v>
      </c>
      <c r="D42" s="21" t="s">
        <v>83</v>
      </c>
      <c r="E42" s="8">
        <f>873.97+1075.24+12.5</f>
        <v>1961.71</v>
      </c>
      <c r="F42" s="21" t="s">
        <v>9</v>
      </c>
      <c r="G42" s="2" t="s">
        <v>80</v>
      </c>
    </row>
    <row r="43" spans="1:7" x14ac:dyDescent="0.25">
      <c r="A43" s="74">
        <v>31</v>
      </c>
      <c r="B43" s="76" t="s">
        <v>91</v>
      </c>
      <c r="C43" s="74">
        <v>34976993601</v>
      </c>
      <c r="D43" s="76" t="s">
        <v>92</v>
      </c>
      <c r="E43" s="16">
        <f>227.73+276.53</f>
        <v>504.26</v>
      </c>
      <c r="F43" s="76" t="s">
        <v>9</v>
      </c>
      <c r="G43" s="28" t="s">
        <v>90</v>
      </c>
    </row>
    <row r="44" spans="1:7" ht="15.75" thickBot="1" x14ac:dyDescent="0.3">
      <c r="A44" s="75"/>
      <c r="B44" s="77"/>
      <c r="C44" s="75"/>
      <c r="D44" s="77"/>
      <c r="E44" s="18">
        <v>145.35</v>
      </c>
      <c r="F44" s="77"/>
      <c r="G44" s="29" t="s">
        <v>211</v>
      </c>
    </row>
    <row r="45" spans="1:7" x14ac:dyDescent="0.25">
      <c r="A45" s="34">
        <v>32</v>
      </c>
      <c r="B45" s="30" t="s">
        <v>15</v>
      </c>
      <c r="C45" s="34" t="s">
        <v>15</v>
      </c>
      <c r="D45" s="30" t="s">
        <v>15</v>
      </c>
      <c r="E45" s="17">
        <v>1744.91</v>
      </c>
      <c r="F45" s="30" t="s">
        <v>9</v>
      </c>
      <c r="G45" s="31" t="s">
        <v>93</v>
      </c>
    </row>
    <row r="46" spans="1:7" x14ac:dyDescent="0.25">
      <c r="A46" s="11">
        <v>33</v>
      </c>
      <c r="B46" s="5" t="s">
        <v>15</v>
      </c>
      <c r="C46" s="11" t="s">
        <v>15</v>
      </c>
      <c r="D46" s="5" t="s">
        <v>15</v>
      </c>
      <c r="E46" s="8">
        <f>47577.89</f>
        <v>47577.89</v>
      </c>
      <c r="F46" s="5" t="s">
        <v>9</v>
      </c>
      <c r="G46" s="2" t="s">
        <v>94</v>
      </c>
    </row>
    <row r="47" spans="1:7" x14ac:dyDescent="0.25">
      <c r="A47" s="11">
        <v>34</v>
      </c>
      <c r="B47" s="5" t="s">
        <v>1367</v>
      </c>
      <c r="C47" s="12" t="s">
        <v>1368</v>
      </c>
      <c r="D47" s="5" t="s">
        <v>1369</v>
      </c>
      <c r="E47" s="8">
        <v>86.25</v>
      </c>
      <c r="F47" s="5" t="s">
        <v>9</v>
      </c>
      <c r="G47" s="2" t="s">
        <v>1069</v>
      </c>
    </row>
    <row r="48" spans="1:7" x14ac:dyDescent="0.25">
      <c r="A48" s="11">
        <v>35</v>
      </c>
      <c r="B48" s="21" t="s">
        <v>103</v>
      </c>
      <c r="C48" s="22">
        <v>81793146560</v>
      </c>
      <c r="D48" s="21" t="s">
        <v>104</v>
      </c>
      <c r="E48" s="8">
        <v>16.8</v>
      </c>
      <c r="F48" s="5" t="s">
        <v>9</v>
      </c>
      <c r="G48" s="2" t="s">
        <v>212</v>
      </c>
    </row>
    <row r="49" spans="1:7" x14ac:dyDescent="0.25">
      <c r="A49" s="11">
        <v>36</v>
      </c>
      <c r="B49" s="5" t="s">
        <v>544</v>
      </c>
      <c r="C49" s="11">
        <v>61373622132</v>
      </c>
      <c r="D49" s="5" t="s">
        <v>545</v>
      </c>
      <c r="E49" s="8">
        <f>495.38+86.5+652</f>
        <v>1233.8800000000001</v>
      </c>
      <c r="F49" s="5" t="s">
        <v>9</v>
      </c>
      <c r="G49" s="2" t="s">
        <v>21</v>
      </c>
    </row>
    <row r="50" spans="1:7" x14ac:dyDescent="0.25">
      <c r="A50" s="11">
        <v>37</v>
      </c>
      <c r="B50" s="5" t="s">
        <v>108</v>
      </c>
      <c r="C50" s="11">
        <v>46163832762</v>
      </c>
      <c r="D50" s="5" t="s">
        <v>151</v>
      </c>
      <c r="E50" s="8">
        <f>259.73</f>
        <v>259.73</v>
      </c>
      <c r="F50" s="5" t="s">
        <v>9</v>
      </c>
      <c r="G50" s="2" t="s">
        <v>84</v>
      </c>
    </row>
    <row r="51" spans="1:7" x14ac:dyDescent="0.25">
      <c r="A51" s="11">
        <v>38</v>
      </c>
      <c r="B51" s="5" t="s">
        <v>110</v>
      </c>
      <c r="C51" s="11">
        <v>41412434130</v>
      </c>
      <c r="D51" s="5" t="s">
        <v>147</v>
      </c>
      <c r="E51" s="8">
        <v>253.3</v>
      </c>
      <c r="F51" s="5" t="s">
        <v>9</v>
      </c>
      <c r="G51" s="2" t="s">
        <v>84</v>
      </c>
    </row>
    <row r="52" spans="1:7" x14ac:dyDescent="0.25">
      <c r="A52" s="11">
        <v>39</v>
      </c>
      <c r="B52" s="5" t="s">
        <v>1108</v>
      </c>
      <c r="C52" s="12" t="s">
        <v>1109</v>
      </c>
      <c r="D52" s="5" t="s">
        <v>1110</v>
      </c>
      <c r="E52" s="8">
        <v>2260.1</v>
      </c>
      <c r="F52" s="5" t="s">
        <v>9</v>
      </c>
      <c r="G52" s="2" t="s">
        <v>255</v>
      </c>
    </row>
    <row r="53" spans="1:7" x14ac:dyDescent="0.25">
      <c r="A53" s="11">
        <v>40</v>
      </c>
      <c r="B53" s="5" t="s">
        <v>112</v>
      </c>
      <c r="C53" s="12" t="s">
        <v>152</v>
      </c>
      <c r="D53" s="5" t="s">
        <v>153</v>
      </c>
      <c r="E53" s="8">
        <f>44.17+44.1</f>
        <v>88.27000000000001</v>
      </c>
      <c r="F53" s="5" t="s">
        <v>9</v>
      </c>
      <c r="G53" s="2" t="s">
        <v>84</v>
      </c>
    </row>
    <row r="54" spans="1:7" ht="15.75" thickBot="1" x14ac:dyDescent="0.3">
      <c r="A54" s="11">
        <v>41</v>
      </c>
      <c r="B54" s="5" t="s">
        <v>865</v>
      </c>
      <c r="C54" s="11">
        <v>64691033428</v>
      </c>
      <c r="D54" s="5" t="s">
        <v>866</v>
      </c>
      <c r="E54" s="15">
        <v>440.15</v>
      </c>
      <c r="F54" s="19" t="s">
        <v>9</v>
      </c>
      <c r="G54" s="26" t="s">
        <v>21</v>
      </c>
    </row>
    <row r="55" spans="1:7" x14ac:dyDescent="0.25">
      <c r="A55" s="74">
        <v>42</v>
      </c>
      <c r="B55" s="76" t="s">
        <v>114</v>
      </c>
      <c r="C55" s="74" t="s">
        <v>432</v>
      </c>
      <c r="D55" s="76" t="s">
        <v>432</v>
      </c>
      <c r="E55" s="16">
        <f>320</f>
        <v>320</v>
      </c>
      <c r="F55" s="88" t="s">
        <v>9</v>
      </c>
      <c r="G55" s="28" t="s">
        <v>349</v>
      </c>
    </row>
    <row r="56" spans="1:7" ht="15.75" thickBot="1" x14ac:dyDescent="0.3">
      <c r="A56" s="75"/>
      <c r="B56" s="77"/>
      <c r="C56" s="75"/>
      <c r="D56" s="77"/>
      <c r="E56" s="18">
        <v>1940</v>
      </c>
      <c r="F56" s="92"/>
      <c r="G56" s="29" t="s">
        <v>115</v>
      </c>
    </row>
    <row r="57" spans="1:7" x14ac:dyDescent="0.25">
      <c r="A57" s="34">
        <v>43</v>
      </c>
      <c r="B57" s="30" t="s">
        <v>291</v>
      </c>
      <c r="C57" s="34">
        <v>38411868043</v>
      </c>
      <c r="D57" s="30" t="s">
        <v>292</v>
      </c>
      <c r="E57" s="17">
        <f>18350</f>
        <v>18350</v>
      </c>
      <c r="F57" s="30" t="s">
        <v>9</v>
      </c>
      <c r="G57" s="31" t="s">
        <v>21</v>
      </c>
    </row>
    <row r="58" spans="1:7" x14ac:dyDescent="0.25">
      <c r="A58" s="11">
        <v>44</v>
      </c>
      <c r="B58" s="5" t="s">
        <v>879</v>
      </c>
      <c r="C58" s="11">
        <v>55175013491</v>
      </c>
      <c r="D58" s="5" t="s">
        <v>880</v>
      </c>
      <c r="E58" s="8">
        <f>4149.07+2000+5307.69+1426.14</f>
        <v>12882.899999999998</v>
      </c>
      <c r="F58" s="5" t="s">
        <v>9</v>
      </c>
      <c r="G58" s="2" t="s">
        <v>21</v>
      </c>
    </row>
    <row r="59" spans="1:7" x14ac:dyDescent="0.25">
      <c r="A59" s="11">
        <v>45</v>
      </c>
      <c r="B59" s="5" t="s">
        <v>260</v>
      </c>
      <c r="C59" s="11">
        <v>42769559951</v>
      </c>
      <c r="D59" s="5" t="s">
        <v>261</v>
      </c>
      <c r="E59" s="8">
        <f>2000+32.83+4000+4000</f>
        <v>10032.83</v>
      </c>
      <c r="F59" s="5" t="s">
        <v>9</v>
      </c>
      <c r="G59" s="2" t="s">
        <v>21</v>
      </c>
    </row>
    <row r="60" spans="1:7" x14ac:dyDescent="0.25">
      <c r="A60" s="11">
        <v>46</v>
      </c>
      <c r="B60" s="5" t="s">
        <v>993</v>
      </c>
      <c r="C60" s="11">
        <v>29035933600</v>
      </c>
      <c r="D60" s="5" t="s">
        <v>317</v>
      </c>
      <c r="E60" s="8">
        <v>79.849999999999994</v>
      </c>
      <c r="F60" s="5" t="s">
        <v>9</v>
      </c>
      <c r="G60" s="2" t="s">
        <v>195</v>
      </c>
    </row>
    <row r="61" spans="1:7" x14ac:dyDescent="0.25">
      <c r="A61" s="11">
        <v>47</v>
      </c>
      <c r="B61" s="5" t="s">
        <v>120</v>
      </c>
      <c r="C61" s="11" t="s">
        <v>159</v>
      </c>
      <c r="D61" s="5" t="s">
        <v>121</v>
      </c>
      <c r="E61" s="8">
        <f>5130+494.8+10000+12645.96</f>
        <v>28270.76</v>
      </c>
      <c r="F61" s="5" t="s">
        <v>9</v>
      </c>
      <c r="G61" s="2" t="s">
        <v>21</v>
      </c>
    </row>
    <row r="62" spans="1:7" x14ac:dyDescent="0.25">
      <c r="A62" s="11">
        <v>48</v>
      </c>
      <c r="B62" s="5" t="s">
        <v>215</v>
      </c>
      <c r="C62" s="11">
        <v>83416546499</v>
      </c>
      <c r="D62" s="5" t="s">
        <v>218</v>
      </c>
      <c r="E62" s="8">
        <v>37.49</v>
      </c>
      <c r="F62" s="5" t="s">
        <v>9</v>
      </c>
      <c r="G62" s="2" t="s">
        <v>47</v>
      </c>
    </row>
    <row r="63" spans="1:7" x14ac:dyDescent="0.25">
      <c r="A63" s="11">
        <v>49</v>
      </c>
      <c r="B63" s="25" t="s">
        <v>127</v>
      </c>
      <c r="C63" s="24">
        <v>87682591133</v>
      </c>
      <c r="D63" s="25" t="s">
        <v>164</v>
      </c>
      <c r="E63" s="17">
        <f>3000+28.13+6223.19</f>
        <v>9251.32</v>
      </c>
      <c r="F63" s="25" t="s">
        <v>9</v>
      </c>
      <c r="G63" s="31" t="s">
        <v>21</v>
      </c>
    </row>
    <row r="64" spans="1:7" x14ac:dyDescent="0.25">
      <c r="A64" s="11">
        <v>50</v>
      </c>
      <c r="B64" s="42" t="s">
        <v>128</v>
      </c>
      <c r="C64" s="34">
        <v>19849957757</v>
      </c>
      <c r="D64" s="42" t="s">
        <v>166</v>
      </c>
      <c r="E64" s="17">
        <f>1787.2+23564.13+10000</f>
        <v>35351.33</v>
      </c>
      <c r="F64" s="42" t="s">
        <v>9</v>
      </c>
      <c r="G64" s="31" t="s">
        <v>21</v>
      </c>
    </row>
    <row r="65" spans="1:7" x14ac:dyDescent="0.25">
      <c r="A65" s="11">
        <v>51</v>
      </c>
      <c r="B65" s="5" t="s">
        <v>426</v>
      </c>
      <c r="C65" s="11">
        <v>85821130368</v>
      </c>
      <c r="D65" s="5" t="s">
        <v>427</v>
      </c>
      <c r="E65" s="8">
        <v>16.600000000000001</v>
      </c>
      <c r="F65" s="25" t="s">
        <v>9</v>
      </c>
      <c r="G65" s="2" t="s">
        <v>132</v>
      </c>
    </row>
    <row r="66" spans="1:7" x14ac:dyDescent="0.25">
      <c r="A66" s="11">
        <v>52</v>
      </c>
      <c r="B66" s="5" t="s">
        <v>118</v>
      </c>
      <c r="C66" s="11">
        <v>33001753417</v>
      </c>
      <c r="D66" s="5" t="s">
        <v>157</v>
      </c>
      <c r="E66" s="8">
        <f>2008.75+3000+2000</f>
        <v>7008.75</v>
      </c>
      <c r="F66" s="5" t="s">
        <v>9</v>
      </c>
      <c r="G66" s="2" t="s">
        <v>21</v>
      </c>
    </row>
    <row r="67" spans="1:7" x14ac:dyDescent="0.25">
      <c r="A67" s="11">
        <v>53</v>
      </c>
      <c r="B67" s="5" t="s">
        <v>15</v>
      </c>
      <c r="C67" s="11" t="s">
        <v>15</v>
      </c>
      <c r="D67" s="5" t="s">
        <v>15</v>
      </c>
      <c r="E67" s="8">
        <v>5481.45</v>
      </c>
      <c r="F67" s="5" t="s">
        <v>9</v>
      </c>
      <c r="G67" s="2" t="s">
        <v>133</v>
      </c>
    </row>
    <row r="68" spans="1:7" x14ac:dyDescent="0.25">
      <c r="A68" s="11">
        <v>54</v>
      </c>
      <c r="B68" s="19" t="s">
        <v>15</v>
      </c>
      <c r="C68" s="33" t="s">
        <v>15</v>
      </c>
      <c r="D68" s="19" t="s">
        <v>15</v>
      </c>
      <c r="E68" s="15">
        <f>5098.18</f>
        <v>5098.18</v>
      </c>
      <c r="F68" s="19" t="s">
        <v>9</v>
      </c>
      <c r="G68" s="26" t="s">
        <v>134</v>
      </c>
    </row>
    <row r="69" spans="1:7" x14ac:dyDescent="0.25">
      <c r="A69" s="11">
        <v>55</v>
      </c>
      <c r="B69" s="5" t="s">
        <v>15</v>
      </c>
      <c r="C69" s="11" t="s">
        <v>15</v>
      </c>
      <c r="D69" s="5" t="s">
        <v>15</v>
      </c>
      <c r="E69" s="8">
        <v>209.04</v>
      </c>
      <c r="F69" s="5" t="s">
        <v>9</v>
      </c>
      <c r="G69" s="2" t="s">
        <v>700</v>
      </c>
    </row>
    <row r="70" spans="1:7" x14ac:dyDescent="0.25">
      <c r="A70" s="11">
        <v>56</v>
      </c>
      <c r="B70" s="5" t="s">
        <v>15</v>
      </c>
      <c r="C70" s="11" t="s">
        <v>15</v>
      </c>
      <c r="D70" s="5" t="s">
        <v>15</v>
      </c>
      <c r="E70" s="8">
        <v>300</v>
      </c>
      <c r="F70" s="5" t="s">
        <v>9</v>
      </c>
      <c r="G70" s="2" t="s">
        <v>524</v>
      </c>
    </row>
    <row r="71" spans="1:7" x14ac:dyDescent="0.25">
      <c r="A71" s="11">
        <v>57</v>
      </c>
      <c r="B71" s="5" t="s">
        <v>139</v>
      </c>
      <c r="C71" s="11">
        <v>22694857747</v>
      </c>
      <c r="D71" s="5" t="s">
        <v>174</v>
      </c>
      <c r="E71" s="8">
        <v>358.84</v>
      </c>
      <c r="F71" s="5" t="s">
        <v>9</v>
      </c>
      <c r="G71" s="2" t="s">
        <v>140</v>
      </c>
    </row>
    <row r="72" spans="1:7" x14ac:dyDescent="0.25">
      <c r="A72" s="11">
        <v>58</v>
      </c>
      <c r="B72" s="5" t="s">
        <v>169</v>
      </c>
      <c r="C72" s="11">
        <v>62969535840</v>
      </c>
      <c r="D72" s="5" t="s">
        <v>170</v>
      </c>
      <c r="E72" s="20">
        <f>28.49</f>
        <v>28.49</v>
      </c>
      <c r="F72" s="36" t="s">
        <v>9</v>
      </c>
      <c r="G72" s="37" t="s">
        <v>21</v>
      </c>
    </row>
    <row r="73" spans="1:7" x14ac:dyDescent="0.25">
      <c r="A73" s="11">
        <v>59</v>
      </c>
      <c r="B73" s="5" t="s">
        <v>947</v>
      </c>
      <c r="C73" s="12">
        <v>88137585457</v>
      </c>
      <c r="D73" s="5" t="s">
        <v>948</v>
      </c>
      <c r="E73" s="8">
        <f>1022.7+1251.48+744.65</f>
        <v>3018.8300000000004</v>
      </c>
      <c r="F73" s="5" t="s">
        <v>9</v>
      </c>
      <c r="G73" s="2" t="s">
        <v>21</v>
      </c>
    </row>
    <row r="74" spans="1:7" x14ac:dyDescent="0.25">
      <c r="A74" s="11">
        <v>60</v>
      </c>
      <c r="B74" s="5" t="s">
        <v>1640</v>
      </c>
      <c r="C74" s="12">
        <v>75938175031</v>
      </c>
      <c r="D74" s="5" t="s">
        <v>1641</v>
      </c>
      <c r="E74" s="15">
        <v>3050.64</v>
      </c>
      <c r="F74" s="19" t="s">
        <v>9</v>
      </c>
      <c r="G74" s="26" t="s">
        <v>21</v>
      </c>
    </row>
    <row r="75" spans="1:7" x14ac:dyDescent="0.25">
      <c r="A75" s="11">
        <v>61</v>
      </c>
      <c r="B75" s="5" t="s">
        <v>824</v>
      </c>
      <c r="C75" s="11">
        <v>89811416156</v>
      </c>
      <c r="D75" s="5" t="s">
        <v>825</v>
      </c>
      <c r="E75" s="15">
        <v>327.7</v>
      </c>
      <c r="F75" s="19" t="s">
        <v>9</v>
      </c>
      <c r="G75" s="26" t="s">
        <v>347</v>
      </c>
    </row>
    <row r="76" spans="1:7" x14ac:dyDescent="0.25">
      <c r="A76" s="11">
        <v>62</v>
      </c>
      <c r="B76" s="5" t="s">
        <v>420</v>
      </c>
      <c r="C76" s="11">
        <v>11294943436</v>
      </c>
      <c r="D76" s="5" t="s">
        <v>421</v>
      </c>
      <c r="E76" s="8">
        <v>114.68</v>
      </c>
      <c r="F76" s="73" t="s">
        <v>9</v>
      </c>
      <c r="G76" s="2" t="s">
        <v>84</v>
      </c>
    </row>
    <row r="77" spans="1:7" x14ac:dyDescent="0.25">
      <c r="A77" s="11">
        <v>63</v>
      </c>
      <c r="B77" s="5" t="s">
        <v>403</v>
      </c>
      <c r="C77" s="11" t="s">
        <v>404</v>
      </c>
      <c r="D77" s="5" t="s">
        <v>405</v>
      </c>
      <c r="E77" s="8">
        <f>132.75</f>
        <v>132.75</v>
      </c>
      <c r="F77" s="5" t="s">
        <v>9</v>
      </c>
      <c r="G77" s="2" t="s">
        <v>21</v>
      </c>
    </row>
    <row r="78" spans="1:7" x14ac:dyDescent="0.25">
      <c r="A78" s="11">
        <v>64</v>
      </c>
      <c r="B78" s="5" t="s">
        <v>15</v>
      </c>
      <c r="C78" s="11" t="s">
        <v>15</v>
      </c>
      <c r="D78" s="5" t="s">
        <v>15</v>
      </c>
      <c r="E78" s="8">
        <v>410.22</v>
      </c>
      <c r="F78" s="5" t="s">
        <v>9</v>
      </c>
      <c r="G78" s="2" t="s">
        <v>146</v>
      </c>
    </row>
    <row r="79" spans="1:7" ht="15.75" thickBot="1" x14ac:dyDescent="0.3">
      <c r="A79" s="11">
        <v>65</v>
      </c>
      <c r="B79" s="19" t="s">
        <v>177</v>
      </c>
      <c r="C79" s="33">
        <v>49800593791</v>
      </c>
      <c r="D79" s="19" t="s">
        <v>179</v>
      </c>
      <c r="E79" s="15">
        <f>277+4875.77+417+327+1099.28+554.89</f>
        <v>7550.9400000000005</v>
      </c>
      <c r="F79" s="19" t="s">
        <v>9</v>
      </c>
      <c r="G79" s="26" t="s">
        <v>1289</v>
      </c>
    </row>
    <row r="80" spans="1:7" x14ac:dyDescent="0.25">
      <c r="A80" s="74">
        <v>66</v>
      </c>
      <c r="B80" s="76" t="s">
        <v>182</v>
      </c>
      <c r="C80" s="74">
        <v>47428597158</v>
      </c>
      <c r="D80" s="76" t="s">
        <v>184</v>
      </c>
      <c r="E80" s="16">
        <f>4575</f>
        <v>4575</v>
      </c>
      <c r="F80" s="76" t="s">
        <v>9</v>
      </c>
      <c r="G80" s="28" t="s">
        <v>21</v>
      </c>
    </row>
    <row r="81" spans="1:7" ht="15.75" thickBot="1" x14ac:dyDescent="0.3">
      <c r="A81" s="75"/>
      <c r="B81" s="77"/>
      <c r="C81" s="75"/>
      <c r="D81" s="77"/>
      <c r="E81" s="18">
        <f>2000+446.13+2000</f>
        <v>4446.13</v>
      </c>
      <c r="F81" s="77"/>
      <c r="G81" s="29" t="s">
        <v>703</v>
      </c>
    </row>
    <row r="82" spans="1:7" x14ac:dyDescent="0.25">
      <c r="A82" s="34">
        <v>67</v>
      </c>
      <c r="B82" s="30" t="s">
        <v>186</v>
      </c>
      <c r="C82" s="38" t="s">
        <v>188</v>
      </c>
      <c r="D82" s="30" t="s">
        <v>187</v>
      </c>
      <c r="E82" s="17">
        <f>197.56</f>
        <v>197.56</v>
      </c>
      <c r="F82" s="30" t="s">
        <v>9</v>
      </c>
      <c r="G82" s="31" t="s">
        <v>84</v>
      </c>
    </row>
    <row r="83" spans="1:7" x14ac:dyDescent="0.25">
      <c r="A83" s="11">
        <v>68</v>
      </c>
      <c r="B83" s="5" t="s">
        <v>513</v>
      </c>
      <c r="C83" s="11">
        <v>73294314024</v>
      </c>
      <c r="D83" s="5" t="s">
        <v>402</v>
      </c>
      <c r="E83" s="8">
        <f>5.44</f>
        <v>5.44</v>
      </c>
      <c r="F83" s="5" t="s">
        <v>9</v>
      </c>
      <c r="G83" s="2" t="s">
        <v>401</v>
      </c>
    </row>
    <row r="84" spans="1:7" x14ac:dyDescent="0.25">
      <c r="A84" s="11">
        <v>69</v>
      </c>
      <c r="B84" s="5" t="s">
        <v>197</v>
      </c>
      <c r="C84" s="11">
        <v>63988426425</v>
      </c>
      <c r="D84" s="5" t="s">
        <v>198</v>
      </c>
      <c r="E84" s="8">
        <f>2512.63+4949.2+104.55+4984.06</f>
        <v>12550.44</v>
      </c>
      <c r="F84" s="5" t="s">
        <v>9</v>
      </c>
      <c r="G84" s="2" t="s">
        <v>21</v>
      </c>
    </row>
    <row r="85" spans="1:7" x14ac:dyDescent="0.25">
      <c r="A85" s="11">
        <v>70</v>
      </c>
      <c r="B85" s="21" t="s">
        <v>102</v>
      </c>
      <c r="C85" s="22">
        <v>70133616033</v>
      </c>
      <c r="D85" s="21" t="s">
        <v>105</v>
      </c>
      <c r="E85" s="8">
        <v>2414.35</v>
      </c>
      <c r="F85" s="5" t="s">
        <v>9</v>
      </c>
      <c r="G85" s="2" t="s">
        <v>212</v>
      </c>
    </row>
    <row r="86" spans="1:7" x14ac:dyDescent="0.25">
      <c r="A86" s="11">
        <v>71</v>
      </c>
      <c r="B86" s="61" t="s">
        <v>213</v>
      </c>
      <c r="C86" s="41">
        <v>65952859647</v>
      </c>
      <c r="D86" s="40" t="s">
        <v>214</v>
      </c>
      <c r="E86" s="8">
        <f>20000+18510+11172.5</f>
        <v>49682.5</v>
      </c>
      <c r="F86" s="61" t="s">
        <v>9</v>
      </c>
      <c r="G86" s="2" t="s">
        <v>21</v>
      </c>
    </row>
    <row r="87" spans="1:7" x14ac:dyDescent="0.25">
      <c r="A87" s="11">
        <v>72</v>
      </c>
      <c r="B87" s="5" t="s">
        <v>219</v>
      </c>
      <c r="C87" s="11">
        <v>60314119747</v>
      </c>
      <c r="D87" s="5" t="s">
        <v>217</v>
      </c>
      <c r="E87" s="8">
        <f>20000+36510.22+6936.76</f>
        <v>63446.98</v>
      </c>
      <c r="F87" s="5" t="s">
        <v>9</v>
      </c>
      <c r="G87" s="2" t="s">
        <v>21</v>
      </c>
    </row>
    <row r="88" spans="1:7" x14ac:dyDescent="0.25">
      <c r="A88" s="11">
        <v>73</v>
      </c>
      <c r="B88" s="5" t="s">
        <v>226</v>
      </c>
      <c r="C88" s="12" t="s">
        <v>228</v>
      </c>
      <c r="D88" s="5" t="s">
        <v>227</v>
      </c>
      <c r="E88" s="8">
        <f>1000+450</f>
        <v>1450</v>
      </c>
      <c r="F88" s="5" t="s">
        <v>9</v>
      </c>
      <c r="G88" s="2" t="s">
        <v>21</v>
      </c>
    </row>
    <row r="89" spans="1:7" x14ac:dyDescent="0.25">
      <c r="A89" s="11">
        <v>74</v>
      </c>
      <c r="B89" s="5" t="s">
        <v>229</v>
      </c>
      <c r="C89" s="11">
        <v>95243482140</v>
      </c>
      <c r="D89" s="5" t="s">
        <v>230</v>
      </c>
      <c r="E89" s="8">
        <f>197.56+657.76+336.73</f>
        <v>1192.05</v>
      </c>
      <c r="F89" s="5" t="s">
        <v>9</v>
      </c>
      <c r="G89" s="2" t="s">
        <v>21</v>
      </c>
    </row>
    <row r="90" spans="1:7" x14ac:dyDescent="0.25">
      <c r="A90" s="11">
        <v>75</v>
      </c>
      <c r="B90" s="5" t="s">
        <v>972</v>
      </c>
      <c r="C90" s="11" t="s">
        <v>973</v>
      </c>
      <c r="D90" s="5" t="s">
        <v>974</v>
      </c>
      <c r="E90" s="8">
        <f>30000+6612+8052</f>
        <v>44664</v>
      </c>
      <c r="F90" s="5" t="s">
        <v>9</v>
      </c>
      <c r="G90" s="2" t="s">
        <v>21</v>
      </c>
    </row>
    <row r="91" spans="1:7" x14ac:dyDescent="0.25">
      <c r="A91" s="11">
        <v>76</v>
      </c>
      <c r="B91" s="5" t="s">
        <v>505</v>
      </c>
      <c r="C91" s="11">
        <v>57270798205</v>
      </c>
      <c r="D91" s="5" t="s">
        <v>506</v>
      </c>
      <c r="E91" s="8">
        <f>498.56</f>
        <v>498.56</v>
      </c>
      <c r="F91" s="5" t="s">
        <v>9</v>
      </c>
      <c r="G91" s="2" t="s">
        <v>11</v>
      </c>
    </row>
    <row r="92" spans="1:7" x14ac:dyDescent="0.25">
      <c r="A92" s="11">
        <v>77</v>
      </c>
      <c r="B92" s="5" t="s">
        <v>66</v>
      </c>
      <c r="C92" s="11">
        <v>42889250808</v>
      </c>
      <c r="D92" s="5" t="s">
        <v>68</v>
      </c>
      <c r="E92" s="8">
        <v>111.28</v>
      </c>
      <c r="F92" s="5" t="s">
        <v>9</v>
      </c>
      <c r="G92" s="2" t="s">
        <v>64</v>
      </c>
    </row>
    <row r="93" spans="1:7" x14ac:dyDescent="0.25">
      <c r="A93" s="11">
        <v>78</v>
      </c>
      <c r="B93" s="19" t="s">
        <v>1613</v>
      </c>
      <c r="C93" s="33">
        <v>66685671808</v>
      </c>
      <c r="D93" s="19" t="s">
        <v>1614</v>
      </c>
      <c r="E93" s="8">
        <v>812.5</v>
      </c>
      <c r="F93" s="5" t="s">
        <v>9</v>
      </c>
      <c r="G93" s="2" t="s">
        <v>1069</v>
      </c>
    </row>
    <row r="94" spans="1:7" x14ac:dyDescent="0.25">
      <c r="A94" s="11">
        <v>79</v>
      </c>
      <c r="B94" s="5" t="s">
        <v>315</v>
      </c>
      <c r="C94" s="11" t="s">
        <v>15</v>
      </c>
      <c r="D94" s="5" t="s">
        <v>15</v>
      </c>
      <c r="E94" s="8">
        <v>200</v>
      </c>
      <c r="F94" s="5" t="s">
        <v>9</v>
      </c>
      <c r="G94" s="2" t="s">
        <v>135</v>
      </c>
    </row>
    <row r="95" spans="1:7" x14ac:dyDescent="0.25">
      <c r="A95" s="11">
        <v>80</v>
      </c>
      <c r="B95" s="5" t="s">
        <v>603</v>
      </c>
      <c r="C95" s="12" t="s">
        <v>605</v>
      </c>
      <c r="D95" s="5" t="s">
        <v>604</v>
      </c>
      <c r="E95" s="8">
        <v>880</v>
      </c>
      <c r="F95" s="5" t="s">
        <v>9</v>
      </c>
      <c r="G95" s="2" t="s">
        <v>21</v>
      </c>
    </row>
    <row r="96" spans="1:7" x14ac:dyDescent="0.25">
      <c r="A96" s="11">
        <v>81</v>
      </c>
      <c r="B96" s="5" t="s">
        <v>840</v>
      </c>
      <c r="C96" s="11" t="s">
        <v>841</v>
      </c>
      <c r="D96" s="5" t="s">
        <v>842</v>
      </c>
      <c r="E96" s="8">
        <v>191.24</v>
      </c>
      <c r="F96" s="5" t="s">
        <v>9</v>
      </c>
      <c r="G96" s="2" t="s">
        <v>21</v>
      </c>
    </row>
    <row r="97" spans="1:7" x14ac:dyDescent="0.25">
      <c r="A97" s="11">
        <v>82</v>
      </c>
      <c r="B97" s="5" t="s">
        <v>1032</v>
      </c>
      <c r="C97" s="11" t="s">
        <v>1033</v>
      </c>
      <c r="D97" s="5" t="s">
        <v>1034</v>
      </c>
      <c r="E97" s="8">
        <v>2270</v>
      </c>
      <c r="F97" s="5" t="s">
        <v>9</v>
      </c>
      <c r="G97" s="2" t="s">
        <v>21</v>
      </c>
    </row>
    <row r="98" spans="1:7" x14ac:dyDescent="0.25">
      <c r="A98" s="11">
        <v>83</v>
      </c>
      <c r="B98" s="5" t="s">
        <v>1295</v>
      </c>
      <c r="C98" s="11" t="s">
        <v>1296</v>
      </c>
      <c r="D98" s="5" t="s">
        <v>1297</v>
      </c>
      <c r="E98" s="8">
        <v>563</v>
      </c>
      <c r="F98" s="5" t="s">
        <v>9</v>
      </c>
      <c r="G98" s="2" t="s">
        <v>21</v>
      </c>
    </row>
    <row r="99" spans="1:7" x14ac:dyDescent="0.25">
      <c r="A99" s="11">
        <v>84</v>
      </c>
      <c r="B99" s="5" t="s">
        <v>1642</v>
      </c>
      <c r="C99" s="11">
        <v>59308102082</v>
      </c>
      <c r="D99" s="5" t="s">
        <v>1643</v>
      </c>
      <c r="E99" s="8">
        <v>1575</v>
      </c>
      <c r="F99" s="5" t="s">
        <v>9</v>
      </c>
      <c r="G99" s="2" t="s">
        <v>21</v>
      </c>
    </row>
    <row r="100" spans="1:7" x14ac:dyDescent="0.25">
      <c r="A100" s="11">
        <v>85</v>
      </c>
      <c r="B100" s="5" t="s">
        <v>1644</v>
      </c>
      <c r="C100" s="11">
        <v>33117935448</v>
      </c>
      <c r="D100" s="5" t="s">
        <v>1645</v>
      </c>
      <c r="E100" s="8">
        <v>199.94</v>
      </c>
      <c r="F100" s="5" t="s">
        <v>9</v>
      </c>
      <c r="G100" s="2" t="s">
        <v>116</v>
      </c>
    </row>
    <row r="101" spans="1:7" x14ac:dyDescent="0.25">
      <c r="A101" s="11">
        <v>86</v>
      </c>
      <c r="B101" s="5" t="s">
        <v>1646</v>
      </c>
      <c r="C101" s="11">
        <v>60126992663</v>
      </c>
      <c r="D101" s="5" t="s">
        <v>1647</v>
      </c>
      <c r="E101" s="8">
        <v>94.78</v>
      </c>
      <c r="F101" s="5" t="s">
        <v>9</v>
      </c>
      <c r="G101" s="2" t="s">
        <v>21</v>
      </c>
    </row>
    <row r="102" spans="1:7" x14ac:dyDescent="0.25">
      <c r="A102" s="11">
        <v>87</v>
      </c>
      <c r="B102" s="5" t="s">
        <v>625</v>
      </c>
      <c r="C102" s="11">
        <v>43764396102</v>
      </c>
      <c r="D102" s="5" t="s">
        <v>626</v>
      </c>
      <c r="E102" s="8">
        <f>3180</f>
        <v>3180</v>
      </c>
      <c r="F102" s="5" t="s">
        <v>9</v>
      </c>
      <c r="G102" s="2" t="s">
        <v>21</v>
      </c>
    </row>
    <row r="103" spans="1:7" x14ac:dyDescent="0.25">
      <c r="A103" s="11">
        <v>88</v>
      </c>
      <c r="B103" s="30" t="s">
        <v>656</v>
      </c>
      <c r="C103" s="34">
        <v>35082328665</v>
      </c>
      <c r="D103" s="30" t="s">
        <v>185</v>
      </c>
      <c r="E103" s="8">
        <f>4882.65+3461</f>
        <v>8343.65</v>
      </c>
      <c r="F103" s="5" t="s">
        <v>9</v>
      </c>
      <c r="G103" s="2" t="s">
        <v>21</v>
      </c>
    </row>
    <row r="104" spans="1:7" x14ac:dyDescent="0.25">
      <c r="A104" s="11">
        <v>89</v>
      </c>
      <c r="B104" s="5" t="s">
        <v>510</v>
      </c>
      <c r="C104" s="11" t="s">
        <v>511</v>
      </c>
      <c r="D104" s="5" t="s">
        <v>512</v>
      </c>
      <c r="E104" s="8">
        <v>390.56</v>
      </c>
      <c r="F104" s="5" t="s">
        <v>9</v>
      </c>
      <c r="G104" s="2" t="s">
        <v>21</v>
      </c>
    </row>
    <row r="105" spans="1:7" x14ac:dyDescent="0.25">
      <c r="A105" s="11">
        <v>90</v>
      </c>
      <c r="B105" s="5" t="s">
        <v>609</v>
      </c>
      <c r="C105" s="11" t="s">
        <v>611</v>
      </c>
      <c r="D105" s="5" t="s">
        <v>610</v>
      </c>
      <c r="E105" s="8">
        <v>378</v>
      </c>
      <c r="F105" s="5" t="s">
        <v>9</v>
      </c>
      <c r="G105" s="2" t="s">
        <v>21</v>
      </c>
    </row>
    <row r="106" spans="1:7" x14ac:dyDescent="0.25">
      <c r="A106" s="11">
        <v>91</v>
      </c>
      <c r="B106" s="5" t="s">
        <v>1592</v>
      </c>
      <c r="C106" s="11">
        <v>31775386831</v>
      </c>
      <c r="D106" s="5" t="s">
        <v>1593</v>
      </c>
      <c r="E106" s="8">
        <v>2500</v>
      </c>
      <c r="F106" s="5" t="s">
        <v>9</v>
      </c>
      <c r="G106" s="2" t="s">
        <v>1576</v>
      </c>
    </row>
    <row r="107" spans="1:7" x14ac:dyDescent="0.25">
      <c r="A107" s="11">
        <v>92</v>
      </c>
      <c r="B107" s="5" t="s">
        <v>1583</v>
      </c>
      <c r="C107" s="12" t="s">
        <v>773</v>
      </c>
      <c r="D107" s="5" t="s">
        <v>1584</v>
      </c>
      <c r="E107" s="8">
        <v>32</v>
      </c>
      <c r="F107" s="5" t="s">
        <v>9</v>
      </c>
      <c r="G107" s="2" t="s">
        <v>21</v>
      </c>
    </row>
    <row r="108" spans="1:7" x14ac:dyDescent="0.25">
      <c r="A108" s="11">
        <v>93</v>
      </c>
      <c r="B108" s="5" t="s">
        <v>1476</v>
      </c>
      <c r="C108" s="11">
        <v>48685654424</v>
      </c>
      <c r="D108" s="5" t="s">
        <v>1477</v>
      </c>
      <c r="E108" s="8">
        <f>2000+2000+8750</f>
        <v>12750</v>
      </c>
      <c r="F108" s="5" t="s">
        <v>9</v>
      </c>
      <c r="G108" s="2" t="s">
        <v>21</v>
      </c>
    </row>
    <row r="109" spans="1:7" x14ac:dyDescent="0.25">
      <c r="A109" s="11">
        <v>94</v>
      </c>
      <c r="B109" s="5" t="s">
        <v>929</v>
      </c>
      <c r="C109" s="11">
        <v>41317489366</v>
      </c>
      <c r="D109" s="5" t="s">
        <v>930</v>
      </c>
      <c r="E109" s="8">
        <v>2.8</v>
      </c>
      <c r="F109" s="5" t="s">
        <v>9</v>
      </c>
      <c r="G109" s="2" t="s">
        <v>195</v>
      </c>
    </row>
    <row r="110" spans="1:7" x14ac:dyDescent="0.25">
      <c r="A110" s="11">
        <v>95</v>
      </c>
      <c r="B110" s="5" t="s">
        <v>237</v>
      </c>
      <c r="C110" s="11">
        <v>15907062900</v>
      </c>
      <c r="D110" s="5" t="s">
        <v>239</v>
      </c>
      <c r="E110" s="8">
        <v>7366.08</v>
      </c>
      <c r="F110" s="5" t="s">
        <v>9</v>
      </c>
      <c r="G110" s="2" t="s">
        <v>238</v>
      </c>
    </row>
    <row r="111" spans="1:7" x14ac:dyDescent="0.25">
      <c r="A111" s="11">
        <v>96</v>
      </c>
      <c r="B111" s="5" t="s">
        <v>1625</v>
      </c>
      <c r="C111" s="12">
        <v>85828625994</v>
      </c>
      <c r="D111" s="5" t="s">
        <v>323</v>
      </c>
      <c r="E111" s="8">
        <v>11.96</v>
      </c>
      <c r="F111" s="5" t="s">
        <v>9</v>
      </c>
      <c r="G111" s="2" t="s">
        <v>318</v>
      </c>
    </row>
    <row r="112" spans="1:7" x14ac:dyDescent="0.25">
      <c r="A112" s="11">
        <v>97</v>
      </c>
      <c r="B112" s="19" t="s">
        <v>96</v>
      </c>
      <c r="C112" s="33">
        <v>15429488788</v>
      </c>
      <c r="D112" s="19" t="s">
        <v>97</v>
      </c>
      <c r="E112" s="15">
        <v>961</v>
      </c>
      <c r="F112" s="19" t="s">
        <v>9</v>
      </c>
      <c r="G112" s="26" t="s">
        <v>95</v>
      </c>
    </row>
    <row r="113" spans="1:7" x14ac:dyDescent="0.25">
      <c r="A113" s="11">
        <v>98</v>
      </c>
      <c r="B113" s="5" t="s">
        <v>995</v>
      </c>
      <c r="C113" s="11">
        <v>82617270885</v>
      </c>
      <c r="D113" s="5" t="s">
        <v>996</v>
      </c>
      <c r="E113" s="8">
        <v>87.5</v>
      </c>
      <c r="F113" s="5" t="s">
        <v>9</v>
      </c>
      <c r="G113" s="2" t="s">
        <v>21</v>
      </c>
    </row>
    <row r="114" spans="1:7" x14ac:dyDescent="0.25">
      <c r="A114" s="11">
        <v>99</v>
      </c>
      <c r="B114" s="5" t="s">
        <v>1648</v>
      </c>
      <c r="C114" s="12" t="s">
        <v>1649</v>
      </c>
      <c r="D114" s="5" t="s">
        <v>1650</v>
      </c>
      <c r="E114" s="8">
        <v>800</v>
      </c>
      <c r="F114" s="5" t="s">
        <v>9</v>
      </c>
      <c r="G114" s="2" t="s">
        <v>606</v>
      </c>
    </row>
    <row r="115" spans="1:7" x14ac:dyDescent="0.25">
      <c r="A115" s="11">
        <v>100</v>
      </c>
      <c r="B115" s="5" t="s">
        <v>945</v>
      </c>
      <c r="C115" s="11">
        <v>13444890387</v>
      </c>
      <c r="D115" s="5" t="s">
        <v>946</v>
      </c>
      <c r="E115" s="8">
        <v>130.53</v>
      </c>
      <c r="F115" s="5" t="s">
        <v>9</v>
      </c>
      <c r="G115" s="2" t="s">
        <v>21</v>
      </c>
    </row>
    <row r="116" spans="1:7" x14ac:dyDescent="0.25">
      <c r="A116" s="11">
        <v>101</v>
      </c>
      <c r="B116" s="5" t="s">
        <v>1575</v>
      </c>
      <c r="C116" s="11">
        <v>36774819256</v>
      </c>
      <c r="D116" s="5" t="s">
        <v>352</v>
      </c>
      <c r="E116" s="8">
        <f>8000</f>
        <v>8000</v>
      </c>
      <c r="F116" s="5" t="s">
        <v>9</v>
      </c>
      <c r="G116" s="2" t="s">
        <v>1576</v>
      </c>
    </row>
    <row r="117" spans="1:7" x14ac:dyDescent="0.25">
      <c r="A117" s="11">
        <v>102</v>
      </c>
      <c r="B117" s="5" t="s">
        <v>1075</v>
      </c>
      <c r="C117" s="11">
        <v>47975086540</v>
      </c>
      <c r="D117" s="5" t="s">
        <v>1651</v>
      </c>
      <c r="E117" s="8">
        <v>2850</v>
      </c>
      <c r="F117" s="5" t="s">
        <v>9</v>
      </c>
      <c r="G117" s="2" t="s">
        <v>21</v>
      </c>
    </row>
    <row r="118" spans="1:7" x14ac:dyDescent="0.25">
      <c r="A118" s="11">
        <v>103</v>
      </c>
      <c r="B118" s="5" t="s">
        <v>724</v>
      </c>
      <c r="C118" s="11">
        <v>33911499305</v>
      </c>
      <c r="D118" s="5" t="s">
        <v>725</v>
      </c>
      <c r="E118" s="8">
        <f>2000+2685</f>
        <v>4685</v>
      </c>
      <c r="F118" s="5" t="s">
        <v>9</v>
      </c>
      <c r="G118" s="2" t="s">
        <v>39</v>
      </c>
    </row>
    <row r="119" spans="1:7" x14ac:dyDescent="0.25">
      <c r="A119" s="11">
        <v>104</v>
      </c>
      <c r="B119" s="5" t="s">
        <v>1652</v>
      </c>
      <c r="C119" s="12">
        <v>17695528532</v>
      </c>
      <c r="D119" s="5" t="s">
        <v>1653</v>
      </c>
      <c r="E119" s="8">
        <v>11</v>
      </c>
      <c r="F119" s="5" t="s">
        <v>9</v>
      </c>
      <c r="G119" s="2" t="s">
        <v>394</v>
      </c>
    </row>
    <row r="120" spans="1:7" x14ac:dyDescent="0.25">
      <c r="A120" s="11">
        <v>105</v>
      </c>
      <c r="B120" s="5" t="s">
        <v>1063</v>
      </c>
      <c r="C120" s="11">
        <v>32047404941</v>
      </c>
      <c r="D120" s="5" t="s">
        <v>1064</v>
      </c>
      <c r="E120" s="8">
        <f>1000+1000+3800+2450</f>
        <v>8250</v>
      </c>
      <c r="F120" s="5" t="s">
        <v>9</v>
      </c>
      <c r="G120" s="2" t="s">
        <v>21</v>
      </c>
    </row>
    <row r="121" spans="1:7" x14ac:dyDescent="0.25">
      <c r="A121" s="11">
        <v>106</v>
      </c>
      <c r="B121" s="40" t="s">
        <v>344</v>
      </c>
      <c r="C121" s="41">
        <v>50467974870</v>
      </c>
      <c r="D121" s="40" t="s">
        <v>345</v>
      </c>
      <c r="E121" s="8">
        <f>150.46</f>
        <v>150.46</v>
      </c>
      <c r="F121" s="5" t="s">
        <v>9</v>
      </c>
      <c r="G121" s="2" t="s">
        <v>21</v>
      </c>
    </row>
    <row r="122" spans="1:7" x14ac:dyDescent="0.25">
      <c r="A122" s="11">
        <v>107</v>
      </c>
      <c r="B122" s="5" t="s">
        <v>1623</v>
      </c>
      <c r="C122" s="11">
        <v>99944170669</v>
      </c>
      <c r="D122" s="5" t="s">
        <v>1624</v>
      </c>
      <c r="E122" s="8">
        <v>180</v>
      </c>
      <c r="F122" s="5" t="s">
        <v>9</v>
      </c>
      <c r="G122" s="2" t="s">
        <v>347</v>
      </c>
    </row>
    <row r="123" spans="1:7" x14ac:dyDescent="0.25">
      <c r="A123" s="11">
        <v>108</v>
      </c>
      <c r="B123" s="5" t="s">
        <v>474</v>
      </c>
      <c r="C123" s="11">
        <v>51469557335</v>
      </c>
      <c r="D123" s="5" t="s">
        <v>475</v>
      </c>
      <c r="E123" s="8">
        <f>28.38+80.1</f>
        <v>108.47999999999999</v>
      </c>
      <c r="F123" s="5" t="s">
        <v>9</v>
      </c>
      <c r="G123" s="2" t="s">
        <v>21</v>
      </c>
    </row>
    <row r="124" spans="1:7" x14ac:dyDescent="0.25">
      <c r="A124" s="11">
        <v>109</v>
      </c>
      <c r="B124" s="5" t="s">
        <v>307</v>
      </c>
      <c r="C124" s="11">
        <v>48633701387</v>
      </c>
      <c r="D124" s="5" t="s">
        <v>308</v>
      </c>
      <c r="E124" s="8">
        <f>24.9+73.9</f>
        <v>98.800000000000011</v>
      </c>
      <c r="F124" s="5" t="s">
        <v>9</v>
      </c>
      <c r="G124" s="2" t="s">
        <v>21</v>
      </c>
    </row>
    <row r="125" spans="1:7" x14ac:dyDescent="0.25">
      <c r="A125" s="11">
        <v>110</v>
      </c>
      <c r="B125" s="5" t="s">
        <v>269</v>
      </c>
      <c r="C125" s="11">
        <v>48249084626</v>
      </c>
      <c r="D125" s="5" t="s">
        <v>270</v>
      </c>
      <c r="E125" s="8">
        <f>179.23+44.91+176.66+1128.05</f>
        <v>1528.85</v>
      </c>
      <c r="F125" s="5" t="s">
        <v>9</v>
      </c>
      <c r="G125" s="2" t="s">
        <v>21</v>
      </c>
    </row>
    <row r="126" spans="1:7" x14ac:dyDescent="0.25">
      <c r="A126" s="11">
        <v>111</v>
      </c>
      <c r="B126" s="5" t="s">
        <v>267</v>
      </c>
      <c r="C126" s="11">
        <v>64021574271</v>
      </c>
      <c r="D126" s="5" t="s">
        <v>268</v>
      </c>
      <c r="E126" s="8">
        <f>1409.53+234.03+32.08</f>
        <v>1675.6399999999999</v>
      </c>
      <c r="F126" s="5" t="s">
        <v>9</v>
      </c>
      <c r="G126" s="2" t="s">
        <v>21</v>
      </c>
    </row>
    <row r="127" spans="1:7" x14ac:dyDescent="0.25">
      <c r="A127" s="11">
        <v>112</v>
      </c>
      <c r="B127" s="5" t="s">
        <v>277</v>
      </c>
      <c r="C127" s="11">
        <v>60365429880</v>
      </c>
      <c r="D127" s="5" t="s">
        <v>278</v>
      </c>
      <c r="E127" s="8">
        <f>6+22.5+63.35+45.7+147.18+195.63</f>
        <v>480.36</v>
      </c>
      <c r="F127" s="5" t="s">
        <v>9</v>
      </c>
      <c r="G127" s="2" t="s">
        <v>21</v>
      </c>
    </row>
    <row r="128" spans="1:7" x14ac:dyDescent="0.25">
      <c r="A128" s="11">
        <v>113</v>
      </c>
      <c r="B128" s="5" t="s">
        <v>279</v>
      </c>
      <c r="C128" s="11">
        <v>37879152548</v>
      </c>
      <c r="D128" s="5" t="s">
        <v>280</v>
      </c>
      <c r="E128" s="8">
        <v>1675.5</v>
      </c>
      <c r="F128" s="5" t="s">
        <v>9</v>
      </c>
      <c r="G128" s="2" t="s">
        <v>21</v>
      </c>
    </row>
    <row r="129" spans="1:7" x14ac:dyDescent="0.25">
      <c r="A129" s="11">
        <v>114</v>
      </c>
      <c r="B129" s="5" t="s">
        <v>324</v>
      </c>
      <c r="C129" s="11">
        <v>64008199572</v>
      </c>
      <c r="D129" s="5" t="s">
        <v>325</v>
      </c>
      <c r="E129" s="8">
        <f>406.9</f>
        <v>406.9</v>
      </c>
      <c r="F129" s="5" t="s">
        <v>9</v>
      </c>
      <c r="G129" s="2" t="s">
        <v>21</v>
      </c>
    </row>
    <row r="130" spans="1:7" x14ac:dyDescent="0.25">
      <c r="A130" s="11">
        <v>115</v>
      </c>
      <c r="B130" s="5" t="s">
        <v>283</v>
      </c>
      <c r="C130" s="11">
        <v>39048902955</v>
      </c>
      <c r="D130" s="5" t="s">
        <v>284</v>
      </c>
      <c r="E130" s="8">
        <v>469.84</v>
      </c>
      <c r="F130" s="5" t="s">
        <v>9</v>
      </c>
      <c r="G130" s="2" t="s">
        <v>47</v>
      </c>
    </row>
    <row r="131" spans="1:7" x14ac:dyDescent="0.25">
      <c r="A131" s="11">
        <v>116</v>
      </c>
      <c r="B131" s="5" t="s">
        <v>863</v>
      </c>
      <c r="C131" s="11">
        <v>34604734054</v>
      </c>
      <c r="D131" s="5" t="s">
        <v>864</v>
      </c>
      <c r="E131" s="8">
        <f>70</f>
        <v>70</v>
      </c>
      <c r="F131" s="5" t="s">
        <v>9</v>
      </c>
      <c r="G131" s="2" t="s">
        <v>241</v>
      </c>
    </row>
    <row r="132" spans="1:7" x14ac:dyDescent="0.25">
      <c r="A132" s="11">
        <v>117</v>
      </c>
      <c r="B132" s="5" t="s">
        <v>357</v>
      </c>
      <c r="C132" s="11">
        <v>7882320813</v>
      </c>
      <c r="D132" s="5" t="s">
        <v>358</v>
      </c>
      <c r="E132" s="8">
        <f>212.25+386.73</f>
        <v>598.98</v>
      </c>
      <c r="F132" s="5" t="s">
        <v>9</v>
      </c>
      <c r="G132" s="2" t="s">
        <v>263</v>
      </c>
    </row>
    <row r="133" spans="1:7" x14ac:dyDescent="0.25">
      <c r="A133" s="11">
        <v>118</v>
      </c>
      <c r="B133" s="5" t="s">
        <v>248</v>
      </c>
      <c r="C133" s="11">
        <v>22740118957</v>
      </c>
      <c r="D133" s="5" t="s">
        <v>249</v>
      </c>
      <c r="E133" s="8">
        <f>693</f>
        <v>693</v>
      </c>
      <c r="F133" s="5" t="s">
        <v>9</v>
      </c>
      <c r="G133" s="2" t="s">
        <v>21</v>
      </c>
    </row>
    <row r="134" spans="1:7" x14ac:dyDescent="0.25">
      <c r="A134" s="11">
        <v>119</v>
      </c>
      <c r="B134" s="5" t="s">
        <v>720</v>
      </c>
      <c r="C134" s="11">
        <v>55622004611</v>
      </c>
      <c r="D134" s="5" t="s">
        <v>721</v>
      </c>
      <c r="E134" s="15">
        <v>22.5</v>
      </c>
      <c r="F134" s="19" t="s">
        <v>9</v>
      </c>
      <c r="G134" s="26" t="s">
        <v>21</v>
      </c>
    </row>
    <row r="135" spans="1:7" ht="15.75" thickBot="1" x14ac:dyDescent="0.3">
      <c r="A135" s="11">
        <v>120</v>
      </c>
      <c r="B135" s="5" t="s">
        <v>295</v>
      </c>
      <c r="C135" s="11">
        <v>17145318195</v>
      </c>
      <c r="D135" s="5" t="s">
        <v>296</v>
      </c>
      <c r="E135" s="15">
        <f>27.41</f>
        <v>27.41</v>
      </c>
      <c r="F135" s="19" t="s">
        <v>9</v>
      </c>
      <c r="G135" s="26" t="s">
        <v>21</v>
      </c>
    </row>
    <row r="136" spans="1:7" x14ac:dyDescent="0.25">
      <c r="A136" s="74">
        <v>121</v>
      </c>
      <c r="B136" s="76" t="s">
        <v>1565</v>
      </c>
      <c r="C136" s="74">
        <v>41025754642</v>
      </c>
      <c r="D136" s="76" t="s">
        <v>1566</v>
      </c>
      <c r="E136" s="16">
        <f>437.5+1250+2090.19</f>
        <v>3777.69</v>
      </c>
      <c r="F136" s="76" t="s">
        <v>9</v>
      </c>
      <c r="G136" s="28" t="s">
        <v>64</v>
      </c>
    </row>
    <row r="137" spans="1:7" ht="15.75" thickBot="1" x14ac:dyDescent="0.3">
      <c r="A137" s="75"/>
      <c r="B137" s="77"/>
      <c r="C137" s="75"/>
      <c r="D137" s="77"/>
      <c r="E137" s="18">
        <v>9000</v>
      </c>
      <c r="F137" s="77"/>
      <c r="G137" s="29" t="s">
        <v>116</v>
      </c>
    </row>
    <row r="138" spans="1:7" x14ac:dyDescent="0.25">
      <c r="A138" s="34">
        <v>122</v>
      </c>
      <c r="B138" s="30" t="s">
        <v>737</v>
      </c>
      <c r="C138" s="34">
        <v>10765766984</v>
      </c>
      <c r="D138" s="30" t="s">
        <v>1609</v>
      </c>
      <c r="E138" s="20">
        <f>2926</f>
        <v>2926</v>
      </c>
      <c r="F138" s="36" t="s">
        <v>9</v>
      </c>
      <c r="G138" s="37" t="s">
        <v>21</v>
      </c>
    </row>
    <row r="139" spans="1:7" x14ac:dyDescent="0.25">
      <c r="A139" s="11">
        <v>123</v>
      </c>
      <c r="B139" s="19" t="s">
        <v>1008</v>
      </c>
      <c r="C139" s="39">
        <v>53951737793</v>
      </c>
      <c r="D139" s="19" t="s">
        <v>1009</v>
      </c>
      <c r="E139" s="15">
        <v>472.5</v>
      </c>
      <c r="F139" s="19" t="s">
        <v>9</v>
      </c>
      <c r="G139" s="26" t="s">
        <v>21</v>
      </c>
    </row>
    <row r="140" spans="1:7" x14ac:dyDescent="0.25">
      <c r="A140" s="11">
        <v>124</v>
      </c>
      <c r="B140" s="5" t="s">
        <v>687</v>
      </c>
      <c r="C140" s="11">
        <v>11711059133</v>
      </c>
      <c r="D140" s="5" t="s">
        <v>688</v>
      </c>
      <c r="E140" s="15">
        <f>195</f>
        <v>195</v>
      </c>
      <c r="F140" s="19" t="s">
        <v>9</v>
      </c>
      <c r="G140" s="26" t="s">
        <v>21</v>
      </c>
    </row>
    <row r="141" spans="1:7" x14ac:dyDescent="0.25">
      <c r="A141" s="11">
        <v>125</v>
      </c>
      <c r="B141" s="40" t="s">
        <v>1373</v>
      </c>
      <c r="C141" s="41">
        <v>80653493587</v>
      </c>
      <c r="D141" s="40" t="s">
        <v>1374</v>
      </c>
      <c r="E141" s="15">
        <v>907.5</v>
      </c>
      <c r="F141" s="19" t="s">
        <v>9</v>
      </c>
      <c r="G141" s="26" t="s">
        <v>21</v>
      </c>
    </row>
    <row r="142" spans="1:7" x14ac:dyDescent="0.25">
      <c r="A142" s="11">
        <v>126</v>
      </c>
      <c r="B142" s="21" t="s">
        <v>1553</v>
      </c>
      <c r="C142" s="22">
        <v>80572192786</v>
      </c>
      <c r="D142" s="21" t="s">
        <v>1554</v>
      </c>
      <c r="E142" s="15">
        <v>286.43</v>
      </c>
      <c r="F142" s="19" t="s">
        <v>9</v>
      </c>
      <c r="G142" s="26" t="s">
        <v>132</v>
      </c>
    </row>
    <row r="143" spans="1:7" x14ac:dyDescent="0.25">
      <c r="A143" s="11">
        <v>127</v>
      </c>
      <c r="B143" s="19" t="s">
        <v>257</v>
      </c>
      <c r="C143" s="33">
        <v>25577810707</v>
      </c>
      <c r="D143" s="19" t="s">
        <v>258</v>
      </c>
      <c r="E143" s="15">
        <f>1547.15+1243.69</f>
        <v>2790.84</v>
      </c>
      <c r="F143" s="19" t="s">
        <v>9</v>
      </c>
      <c r="G143" s="26" t="s">
        <v>21</v>
      </c>
    </row>
    <row r="144" spans="1:7" x14ac:dyDescent="0.25">
      <c r="A144" s="11">
        <v>128</v>
      </c>
      <c r="B144" s="5" t="s">
        <v>1654</v>
      </c>
      <c r="C144" s="11">
        <v>94465937851</v>
      </c>
      <c r="D144" s="5" t="s">
        <v>1655</v>
      </c>
      <c r="E144" s="15">
        <v>687.5</v>
      </c>
      <c r="F144" s="19" t="s">
        <v>9</v>
      </c>
      <c r="G144" s="26" t="s">
        <v>606</v>
      </c>
    </row>
    <row r="145" spans="1:7" x14ac:dyDescent="0.25">
      <c r="A145" s="11">
        <v>129</v>
      </c>
      <c r="B145" s="5" t="s">
        <v>1656</v>
      </c>
      <c r="C145" s="11">
        <v>41044313807</v>
      </c>
      <c r="D145" s="5" t="s">
        <v>1657</v>
      </c>
      <c r="E145" s="15">
        <v>1652.06</v>
      </c>
      <c r="F145" s="19" t="s">
        <v>9</v>
      </c>
      <c r="G145" s="26" t="s">
        <v>64</v>
      </c>
    </row>
    <row r="146" spans="1:7" x14ac:dyDescent="0.25">
      <c r="A146" s="11">
        <v>130</v>
      </c>
      <c r="B146" s="40" t="s">
        <v>1213</v>
      </c>
      <c r="C146" s="41">
        <v>71642207963</v>
      </c>
      <c r="D146" s="40" t="s">
        <v>1214</v>
      </c>
      <c r="E146" s="8">
        <v>89.7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617</v>
      </c>
      <c r="C147" s="39">
        <v>13278612358</v>
      </c>
      <c r="D147" s="19" t="s">
        <v>618</v>
      </c>
      <c r="E147" s="15">
        <f>787.5+125+137.5+225+300</f>
        <v>1575</v>
      </c>
      <c r="F147" s="19" t="s">
        <v>9</v>
      </c>
      <c r="G147" s="26" t="s">
        <v>178</v>
      </c>
    </row>
    <row r="148" spans="1:7" x14ac:dyDescent="0.25">
      <c r="A148" s="11">
        <v>132</v>
      </c>
      <c r="B148" s="5" t="s">
        <v>704</v>
      </c>
      <c r="C148" s="11">
        <v>93475459627</v>
      </c>
      <c r="D148" s="5" t="s">
        <v>705</v>
      </c>
      <c r="E148" s="8">
        <v>30.75</v>
      </c>
      <c r="F148" s="5" t="s">
        <v>9</v>
      </c>
      <c r="G148" s="2" t="s">
        <v>21</v>
      </c>
    </row>
    <row r="149" spans="1:7" x14ac:dyDescent="0.25">
      <c r="A149" s="11">
        <v>133</v>
      </c>
      <c r="B149" s="5" t="s">
        <v>273</v>
      </c>
      <c r="C149" s="11">
        <v>52641439848</v>
      </c>
      <c r="D149" s="5" t="s">
        <v>274</v>
      </c>
      <c r="E149" s="8">
        <f>104.58</f>
        <v>104.58</v>
      </c>
      <c r="F149" s="5" t="s">
        <v>9</v>
      </c>
      <c r="G149" s="2" t="s">
        <v>21</v>
      </c>
    </row>
    <row r="150" spans="1:7" x14ac:dyDescent="0.25">
      <c r="A150" s="11">
        <v>134</v>
      </c>
      <c r="B150" s="5" t="s">
        <v>1116</v>
      </c>
      <c r="C150" s="11">
        <v>67337315718</v>
      </c>
      <c r="D150" s="5" t="s">
        <v>1117</v>
      </c>
      <c r="E150" s="8">
        <v>1286.25</v>
      </c>
      <c r="F150" s="5" t="s">
        <v>9</v>
      </c>
      <c r="G150" s="2" t="s">
        <v>21</v>
      </c>
    </row>
    <row r="151" spans="1:7" x14ac:dyDescent="0.25">
      <c r="A151" s="11">
        <v>135</v>
      </c>
      <c r="B151" s="19" t="s">
        <v>1658</v>
      </c>
      <c r="C151" s="33">
        <v>23088119851</v>
      </c>
      <c r="D151" s="19" t="s">
        <v>1659</v>
      </c>
      <c r="E151" s="15">
        <v>375</v>
      </c>
      <c r="F151" s="19" t="s">
        <v>9</v>
      </c>
      <c r="G151" s="26" t="s">
        <v>211</v>
      </c>
    </row>
    <row r="152" spans="1:7" x14ac:dyDescent="0.25">
      <c r="A152" s="11">
        <v>136</v>
      </c>
      <c r="B152" s="5" t="s">
        <v>698</v>
      </c>
      <c r="C152" s="11">
        <v>24846301629</v>
      </c>
      <c r="D152" s="5" t="s">
        <v>699</v>
      </c>
      <c r="E152" s="15">
        <v>280</v>
      </c>
      <c r="F152" s="19" t="s">
        <v>9</v>
      </c>
      <c r="G152" s="26" t="s">
        <v>21</v>
      </c>
    </row>
    <row r="153" spans="1:7" x14ac:dyDescent="0.25">
      <c r="A153" s="11">
        <v>137</v>
      </c>
      <c r="B153" s="5" t="s">
        <v>867</v>
      </c>
      <c r="C153" s="11">
        <v>97304721774</v>
      </c>
      <c r="D153" s="5" t="s">
        <v>868</v>
      </c>
      <c r="E153" s="8">
        <f>422.5</f>
        <v>422.5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5" t="s">
        <v>406</v>
      </c>
      <c r="C154" s="11">
        <v>82510351433</v>
      </c>
      <c r="D154" s="5" t="s">
        <v>407</v>
      </c>
      <c r="E154" s="8">
        <f>293.75+131.65+1000</f>
        <v>1425.4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1290</v>
      </c>
      <c r="C155" s="11" t="s">
        <v>1151</v>
      </c>
      <c r="D155" s="5" t="s">
        <v>1152</v>
      </c>
      <c r="E155" s="8">
        <f>6073.1</f>
        <v>6073.1</v>
      </c>
      <c r="F155" s="5" t="s">
        <v>9</v>
      </c>
      <c r="G155" s="2" t="s">
        <v>21</v>
      </c>
    </row>
    <row r="156" spans="1:7" x14ac:dyDescent="0.25">
      <c r="A156" s="11">
        <v>140</v>
      </c>
      <c r="B156" s="5" t="s">
        <v>287</v>
      </c>
      <c r="C156" s="11">
        <v>55614719992</v>
      </c>
      <c r="D156" s="5" t="s">
        <v>288</v>
      </c>
      <c r="E156" s="8">
        <f>2475.68+132.75+170.56</f>
        <v>2778.99</v>
      </c>
      <c r="F156" s="5" t="s">
        <v>9</v>
      </c>
      <c r="G156" s="2" t="s">
        <v>21</v>
      </c>
    </row>
    <row r="157" spans="1:7" x14ac:dyDescent="0.25">
      <c r="A157" s="11">
        <v>141</v>
      </c>
      <c r="B157" s="5" t="s">
        <v>809</v>
      </c>
      <c r="C157" s="11">
        <v>14273924910</v>
      </c>
      <c r="D157" s="5" t="s">
        <v>810</v>
      </c>
      <c r="E157" s="8">
        <v>483.75</v>
      </c>
      <c r="F157" s="5" t="s">
        <v>9</v>
      </c>
      <c r="G157" s="2" t="s">
        <v>132</v>
      </c>
    </row>
    <row r="158" spans="1:7" x14ac:dyDescent="0.25">
      <c r="A158" s="11">
        <v>142</v>
      </c>
      <c r="B158" s="5" t="s">
        <v>311</v>
      </c>
      <c r="C158" s="11">
        <v>48841983787</v>
      </c>
      <c r="D158" s="5" t="s">
        <v>312</v>
      </c>
      <c r="E158" s="8">
        <f>3801.5</f>
        <v>3801.5</v>
      </c>
      <c r="F158" s="5" t="s">
        <v>9</v>
      </c>
      <c r="G158" s="2" t="s">
        <v>21</v>
      </c>
    </row>
    <row r="159" spans="1:7" x14ac:dyDescent="0.25">
      <c r="A159" s="11">
        <v>143</v>
      </c>
      <c r="B159" s="5" t="s">
        <v>381</v>
      </c>
      <c r="C159" s="11">
        <v>100299833</v>
      </c>
      <c r="D159" s="5" t="s">
        <v>392</v>
      </c>
      <c r="E159" s="8">
        <f>4000+880+4150+4000</f>
        <v>13030</v>
      </c>
      <c r="F159" s="5" t="s">
        <v>9</v>
      </c>
      <c r="G159" s="2" t="s">
        <v>21</v>
      </c>
    </row>
    <row r="160" spans="1:7" x14ac:dyDescent="0.25">
      <c r="A160" s="11">
        <v>144</v>
      </c>
      <c r="B160" s="5" t="s">
        <v>275</v>
      </c>
      <c r="C160" s="11">
        <v>76080865307</v>
      </c>
      <c r="D160" s="5" t="s">
        <v>276</v>
      </c>
      <c r="E160" s="8">
        <v>42.78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551</v>
      </c>
      <c r="C161" s="33">
        <v>86648038250</v>
      </c>
      <c r="D161" s="19" t="s">
        <v>498</v>
      </c>
      <c r="E161" s="15">
        <f>81.25+81.25</f>
        <v>162.5</v>
      </c>
      <c r="F161" s="19" t="s">
        <v>9</v>
      </c>
      <c r="G161" s="26" t="s">
        <v>90</v>
      </c>
    </row>
    <row r="162" spans="1:7" x14ac:dyDescent="0.25">
      <c r="A162" s="11">
        <v>146</v>
      </c>
      <c r="B162" s="61" t="s">
        <v>43</v>
      </c>
      <c r="C162" s="41">
        <v>39901919995</v>
      </c>
      <c r="D162" s="61" t="s">
        <v>51</v>
      </c>
      <c r="E162" s="8">
        <f>6000+20000+15003.68+10000</f>
        <v>51003.68</v>
      </c>
      <c r="F162" s="61" t="s">
        <v>9</v>
      </c>
      <c r="G162" s="2" t="s">
        <v>46</v>
      </c>
    </row>
    <row r="163" spans="1:7" x14ac:dyDescent="0.25">
      <c r="A163" s="11">
        <v>147</v>
      </c>
      <c r="B163" s="30" t="s">
        <v>298</v>
      </c>
      <c r="C163" s="34">
        <v>85611744662</v>
      </c>
      <c r="D163" s="30" t="s">
        <v>299</v>
      </c>
      <c r="E163" s="17">
        <f>392.5+392.5</f>
        <v>785</v>
      </c>
      <c r="F163" s="30" t="s">
        <v>9</v>
      </c>
      <c r="G163" s="31" t="s">
        <v>21</v>
      </c>
    </row>
    <row r="164" spans="1:7" x14ac:dyDescent="0.25">
      <c r="A164" s="11">
        <v>148</v>
      </c>
      <c r="B164" s="5" t="s">
        <v>125</v>
      </c>
      <c r="C164" s="11">
        <v>58353015102</v>
      </c>
      <c r="D164" s="5" t="s">
        <v>162</v>
      </c>
      <c r="E164" s="8">
        <v>292.23</v>
      </c>
      <c r="F164" s="5" t="s">
        <v>9</v>
      </c>
      <c r="G164" s="2" t="s">
        <v>101</v>
      </c>
    </row>
    <row r="165" spans="1:7" x14ac:dyDescent="0.25">
      <c r="A165" s="11">
        <v>149</v>
      </c>
      <c r="B165" s="19" t="s">
        <v>342</v>
      </c>
      <c r="C165" s="33">
        <v>54482179263</v>
      </c>
      <c r="D165" s="19" t="s">
        <v>343</v>
      </c>
      <c r="E165" s="15">
        <f>12.93</f>
        <v>12.93</v>
      </c>
      <c r="F165" s="19" t="s">
        <v>9</v>
      </c>
      <c r="G165" s="26" t="s">
        <v>21</v>
      </c>
    </row>
    <row r="166" spans="1:7" x14ac:dyDescent="0.25">
      <c r="A166" s="11">
        <v>150</v>
      </c>
      <c r="B166" s="5" t="s">
        <v>361</v>
      </c>
      <c r="C166" s="11">
        <v>32371574171</v>
      </c>
      <c r="D166" s="5" t="s">
        <v>362</v>
      </c>
      <c r="E166" s="8">
        <f>500+500+500</f>
        <v>1500</v>
      </c>
      <c r="F166" s="5" t="s">
        <v>9</v>
      </c>
      <c r="G166" s="2" t="s">
        <v>178</v>
      </c>
    </row>
    <row r="167" spans="1:7" x14ac:dyDescent="0.25">
      <c r="A167" s="11">
        <v>151</v>
      </c>
      <c r="B167" s="5" t="s">
        <v>313</v>
      </c>
      <c r="C167" s="11">
        <v>12443607100</v>
      </c>
      <c r="D167" s="5" t="s">
        <v>314</v>
      </c>
      <c r="E167" s="8">
        <f>4455.25</f>
        <v>4455.25</v>
      </c>
      <c r="F167" s="5" t="s">
        <v>9</v>
      </c>
      <c r="G167" s="2" t="s">
        <v>21</v>
      </c>
    </row>
    <row r="168" spans="1:7" x14ac:dyDescent="0.25">
      <c r="A168" s="11">
        <v>152</v>
      </c>
      <c r="B168" s="5" t="s">
        <v>346</v>
      </c>
      <c r="C168" s="11">
        <v>79506290597</v>
      </c>
      <c r="D168" s="5" t="s">
        <v>348</v>
      </c>
      <c r="E168" s="8">
        <v>93.75</v>
      </c>
      <c r="F168" s="5" t="s">
        <v>9</v>
      </c>
      <c r="G168" s="2" t="s">
        <v>347</v>
      </c>
    </row>
    <row r="169" spans="1:7" x14ac:dyDescent="0.25">
      <c r="A169" s="11">
        <v>153</v>
      </c>
      <c r="B169" s="5" t="s">
        <v>1472</v>
      </c>
      <c r="C169" s="11">
        <v>74867487620</v>
      </c>
      <c r="D169" s="5" t="s">
        <v>232</v>
      </c>
      <c r="E169" s="8">
        <f>4239.38+137.13+1269.25+485.3</f>
        <v>6131.06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15</v>
      </c>
      <c r="C170" s="11" t="s">
        <v>15</v>
      </c>
      <c r="D170" s="5" t="s">
        <v>15</v>
      </c>
      <c r="E170" s="8">
        <f>600+600+600+600</f>
        <v>2400</v>
      </c>
      <c r="F170" s="5" t="s">
        <v>9</v>
      </c>
      <c r="G170" s="2" t="s">
        <v>16</v>
      </c>
    </row>
    <row r="171" spans="1:7" x14ac:dyDescent="0.25">
      <c r="A171" s="11">
        <v>155</v>
      </c>
      <c r="B171" s="5" t="s">
        <v>15</v>
      </c>
      <c r="C171" s="11" t="s">
        <v>15</v>
      </c>
      <c r="D171" s="5" t="s">
        <v>15</v>
      </c>
      <c r="E171" s="8">
        <f>600+600+600+600</f>
        <v>2400</v>
      </c>
      <c r="F171" s="5" t="s">
        <v>9</v>
      </c>
      <c r="G171" s="2" t="s">
        <v>695</v>
      </c>
    </row>
    <row r="172" spans="1:7" x14ac:dyDescent="0.25">
      <c r="A172" s="11">
        <v>156</v>
      </c>
      <c r="B172" s="5" t="s">
        <v>597</v>
      </c>
      <c r="C172" s="11">
        <v>78131970792</v>
      </c>
      <c r="D172" s="5" t="s">
        <v>598</v>
      </c>
      <c r="E172" s="8">
        <f>575+1125+1062.5+350+525</f>
        <v>3637.5</v>
      </c>
      <c r="F172" s="5" t="s">
        <v>9</v>
      </c>
      <c r="G172" s="2" t="s">
        <v>178</v>
      </c>
    </row>
    <row r="173" spans="1:7" x14ac:dyDescent="0.25">
      <c r="A173" s="11">
        <v>157</v>
      </c>
      <c r="B173" s="19" t="s">
        <v>466</v>
      </c>
      <c r="C173" s="33">
        <v>30568370357</v>
      </c>
      <c r="D173" s="19" t="s">
        <v>467</v>
      </c>
      <c r="E173" s="15">
        <f>200</f>
        <v>200</v>
      </c>
      <c r="F173" s="19" t="s">
        <v>9</v>
      </c>
      <c r="G173" s="26" t="s">
        <v>211</v>
      </c>
    </row>
    <row r="174" spans="1:7" x14ac:dyDescent="0.25">
      <c r="A174" s="11">
        <v>158</v>
      </c>
      <c r="B174" s="5" t="s">
        <v>199</v>
      </c>
      <c r="C174" s="12" t="s">
        <v>201</v>
      </c>
      <c r="D174" s="5" t="s">
        <v>200</v>
      </c>
      <c r="E174" s="8">
        <f>2000+4766.25+2000</f>
        <v>8766.25</v>
      </c>
      <c r="F174" s="5" t="s">
        <v>9</v>
      </c>
      <c r="G174" s="2" t="s">
        <v>21</v>
      </c>
    </row>
    <row r="175" spans="1:7" x14ac:dyDescent="0.25">
      <c r="A175" s="11">
        <v>159</v>
      </c>
      <c r="B175" s="5" t="s">
        <v>326</v>
      </c>
      <c r="C175" s="11">
        <v>83157399243</v>
      </c>
      <c r="D175" s="5" t="s">
        <v>327</v>
      </c>
      <c r="E175" s="8">
        <f>470+75+231.25+147.5+81.25</f>
        <v>1005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336</v>
      </c>
      <c r="C176" s="11">
        <v>69857578031</v>
      </c>
      <c r="D176" s="5" t="s">
        <v>338</v>
      </c>
      <c r="E176" s="8">
        <f>349.28+417.31</f>
        <v>766.58999999999992</v>
      </c>
      <c r="F176" s="5" t="s">
        <v>9</v>
      </c>
      <c r="G176" s="2" t="s">
        <v>337</v>
      </c>
    </row>
    <row r="177" spans="1:7" x14ac:dyDescent="0.25">
      <c r="A177" s="11">
        <v>161</v>
      </c>
      <c r="B177" s="5" t="s">
        <v>40</v>
      </c>
      <c r="C177" s="11">
        <v>23308926345</v>
      </c>
      <c r="D177" s="5" t="s">
        <v>53</v>
      </c>
      <c r="E177" s="15">
        <v>207.31</v>
      </c>
      <c r="F177" s="5" t="s">
        <v>9</v>
      </c>
      <c r="G177" s="2" t="s">
        <v>39</v>
      </c>
    </row>
    <row r="178" spans="1:7" x14ac:dyDescent="0.25">
      <c r="A178" s="11">
        <v>162</v>
      </c>
      <c r="B178" s="5" t="s">
        <v>408</v>
      </c>
      <c r="C178" s="11" t="s">
        <v>409</v>
      </c>
      <c r="D178" s="5" t="s">
        <v>410</v>
      </c>
      <c r="E178" s="8">
        <v>10996.8</v>
      </c>
      <c r="F178" s="5" t="s">
        <v>9</v>
      </c>
      <c r="G178" s="2" t="s">
        <v>101</v>
      </c>
    </row>
    <row r="179" spans="1:7" x14ac:dyDescent="0.25">
      <c r="A179" s="11">
        <v>163</v>
      </c>
      <c r="B179" s="5" t="s">
        <v>48</v>
      </c>
      <c r="C179" s="11">
        <v>93039509752</v>
      </c>
      <c r="D179" s="5" t="s">
        <v>54</v>
      </c>
      <c r="E179" s="20">
        <f>510.99+524.25</f>
        <v>1035.24</v>
      </c>
      <c r="F179" s="19" t="s">
        <v>9</v>
      </c>
      <c r="G179" s="2" t="s">
        <v>49</v>
      </c>
    </row>
    <row r="180" spans="1:7" x14ac:dyDescent="0.25">
      <c r="A180" s="11">
        <v>164</v>
      </c>
      <c r="B180" s="5" t="s">
        <v>122</v>
      </c>
      <c r="C180" s="11">
        <v>64862538713</v>
      </c>
      <c r="D180" s="5" t="s">
        <v>160</v>
      </c>
      <c r="E180" s="8">
        <f>62.5+338.13</f>
        <v>400.63</v>
      </c>
      <c r="F180" s="5" t="s">
        <v>9</v>
      </c>
      <c r="G180" s="2" t="s">
        <v>21</v>
      </c>
    </row>
    <row r="181" spans="1:7" x14ac:dyDescent="0.25">
      <c r="A181" s="11">
        <v>165</v>
      </c>
      <c r="B181" s="5" t="s">
        <v>271</v>
      </c>
      <c r="C181" s="11">
        <v>26901839603</v>
      </c>
      <c r="D181" s="5" t="s">
        <v>272</v>
      </c>
      <c r="E181" s="8">
        <f>189.19+13.88+142.68+26.25</f>
        <v>372</v>
      </c>
      <c r="F181" s="5" t="s">
        <v>9</v>
      </c>
      <c r="G181" s="2" t="s">
        <v>21</v>
      </c>
    </row>
    <row r="182" spans="1:7" x14ac:dyDescent="0.25">
      <c r="A182" s="11">
        <v>166</v>
      </c>
      <c r="B182" s="5" t="s">
        <v>297</v>
      </c>
      <c r="C182" s="11">
        <v>110752628</v>
      </c>
      <c r="D182" s="5" t="s">
        <v>300</v>
      </c>
      <c r="E182" s="8">
        <f>3138.17+3865.92+6568.96</f>
        <v>13573.05</v>
      </c>
      <c r="F182" s="5" t="s">
        <v>9</v>
      </c>
      <c r="G182" s="2" t="s">
        <v>21</v>
      </c>
    </row>
    <row r="183" spans="1:7" x14ac:dyDescent="0.25">
      <c r="A183" s="11">
        <v>167</v>
      </c>
      <c r="B183" s="21" t="s">
        <v>143</v>
      </c>
      <c r="C183" s="22">
        <v>34421776805</v>
      </c>
      <c r="D183" s="21" t="s">
        <v>175</v>
      </c>
      <c r="E183" s="8">
        <f>196.39+846.35</f>
        <v>1042.74</v>
      </c>
      <c r="F183" s="5" t="s">
        <v>9</v>
      </c>
      <c r="G183" s="2" t="s">
        <v>144</v>
      </c>
    </row>
    <row r="184" spans="1:7" x14ac:dyDescent="0.25">
      <c r="A184" s="11">
        <v>168</v>
      </c>
      <c r="B184" s="5" t="s">
        <v>131</v>
      </c>
      <c r="C184" s="11">
        <v>79517545745</v>
      </c>
      <c r="D184" s="5" t="s">
        <v>167</v>
      </c>
      <c r="E184" s="8">
        <v>58.71</v>
      </c>
      <c r="F184" s="5" t="s">
        <v>9</v>
      </c>
      <c r="G184" s="2" t="s">
        <v>132</v>
      </c>
    </row>
    <row r="185" spans="1:7" x14ac:dyDescent="0.25">
      <c r="A185" s="11">
        <v>169</v>
      </c>
      <c r="B185" s="5" t="s">
        <v>220</v>
      </c>
      <c r="C185" s="11" t="s">
        <v>221</v>
      </c>
      <c r="D185" s="5" t="s">
        <v>222</v>
      </c>
      <c r="E185" s="8">
        <f>1871.99+26.33+26334+4760</f>
        <v>32992.32</v>
      </c>
      <c r="F185" s="5" t="s">
        <v>9</v>
      </c>
      <c r="G185" s="2" t="s">
        <v>21</v>
      </c>
    </row>
    <row r="186" spans="1:7" x14ac:dyDescent="0.25">
      <c r="A186" s="11">
        <v>170</v>
      </c>
      <c r="B186" s="5" t="s">
        <v>319</v>
      </c>
      <c r="C186" s="11" t="s">
        <v>320</v>
      </c>
      <c r="D186" s="5" t="s">
        <v>321</v>
      </c>
      <c r="E186" s="8">
        <f>5000+715.02</f>
        <v>5715.02</v>
      </c>
      <c r="F186" s="5" t="s">
        <v>9</v>
      </c>
      <c r="G186" s="2" t="s">
        <v>21</v>
      </c>
    </row>
    <row r="187" spans="1:7" x14ac:dyDescent="0.25">
      <c r="A187" s="11">
        <v>171</v>
      </c>
      <c r="B187" s="5" t="s">
        <v>428</v>
      </c>
      <c r="C187" s="11">
        <v>80972836106</v>
      </c>
      <c r="D187" s="5" t="s">
        <v>429</v>
      </c>
      <c r="E187" s="8">
        <v>190</v>
      </c>
      <c r="F187" s="5" t="s">
        <v>9</v>
      </c>
      <c r="G187" s="2" t="s">
        <v>130</v>
      </c>
    </row>
    <row r="188" spans="1:7" x14ac:dyDescent="0.25">
      <c r="A188" s="11">
        <v>172</v>
      </c>
      <c r="B188" s="5" t="s">
        <v>546</v>
      </c>
      <c r="C188" s="11">
        <v>80805858278</v>
      </c>
      <c r="D188" s="5" t="s">
        <v>187</v>
      </c>
      <c r="E188" s="8">
        <v>113.83</v>
      </c>
      <c r="F188" s="5" t="s">
        <v>9</v>
      </c>
      <c r="G188" s="2" t="s">
        <v>47</v>
      </c>
    </row>
    <row r="189" spans="1:7" x14ac:dyDescent="0.25">
      <c r="A189" s="11">
        <v>173</v>
      </c>
      <c r="B189" s="5" t="s">
        <v>590</v>
      </c>
      <c r="C189" s="11">
        <v>58421021869</v>
      </c>
      <c r="D189" s="5" t="s">
        <v>591</v>
      </c>
      <c r="E189" s="8">
        <f>1468.8+2000+1000+5000+3101.75</f>
        <v>12570.55</v>
      </c>
      <c r="F189" s="5" t="s">
        <v>9</v>
      </c>
      <c r="G189" s="2" t="s">
        <v>21</v>
      </c>
    </row>
    <row r="190" spans="1:7" x14ac:dyDescent="0.25">
      <c r="A190" s="11">
        <v>174</v>
      </c>
      <c r="B190" s="5" t="s">
        <v>943</v>
      </c>
      <c r="C190" s="11">
        <v>88745489373</v>
      </c>
      <c r="D190" s="5" t="s">
        <v>944</v>
      </c>
      <c r="E190" s="8">
        <f>250+1000+2125</f>
        <v>3375</v>
      </c>
      <c r="F190" s="5" t="s">
        <v>9</v>
      </c>
      <c r="G190" s="2" t="s">
        <v>21</v>
      </c>
    </row>
    <row r="191" spans="1:7" x14ac:dyDescent="0.25">
      <c r="A191" s="11">
        <v>175</v>
      </c>
      <c r="B191" s="5" t="s">
        <v>289</v>
      </c>
      <c r="C191" s="11">
        <v>95325472047</v>
      </c>
      <c r="D191" s="5" t="s">
        <v>290</v>
      </c>
      <c r="E191" s="8">
        <f>30000</f>
        <v>30000</v>
      </c>
      <c r="F191" s="5" t="s">
        <v>9</v>
      </c>
      <c r="G191" s="2" t="s">
        <v>21</v>
      </c>
    </row>
    <row r="192" spans="1:7" x14ac:dyDescent="0.25">
      <c r="A192" s="11">
        <v>176</v>
      </c>
      <c r="B192" s="5" t="s">
        <v>246</v>
      </c>
      <c r="C192" s="11">
        <v>97994010225</v>
      </c>
      <c r="D192" s="5" t="s">
        <v>247</v>
      </c>
      <c r="E192" s="8">
        <f>1139.84+1496.67</f>
        <v>2636.51</v>
      </c>
      <c r="F192" s="5" t="s">
        <v>9</v>
      </c>
      <c r="G192" s="2" t="s">
        <v>21</v>
      </c>
    </row>
    <row r="193" spans="1:7" x14ac:dyDescent="0.25">
      <c r="A193" s="11">
        <v>177</v>
      </c>
      <c r="B193" s="5" t="s">
        <v>378</v>
      </c>
      <c r="C193" s="11">
        <v>54527841697</v>
      </c>
      <c r="D193" s="5" t="s">
        <v>389</v>
      </c>
      <c r="E193" s="8">
        <v>4350</v>
      </c>
      <c r="F193" s="5" t="s">
        <v>9</v>
      </c>
      <c r="G193" s="2" t="s">
        <v>21</v>
      </c>
    </row>
    <row r="194" spans="1:7" x14ac:dyDescent="0.25">
      <c r="A194" s="11">
        <v>178</v>
      </c>
      <c r="B194" s="5" t="s">
        <v>458</v>
      </c>
      <c r="C194" s="11" t="s">
        <v>460</v>
      </c>
      <c r="D194" s="5" t="s">
        <v>459</v>
      </c>
      <c r="E194" s="8">
        <f>684+110.4</f>
        <v>794.4</v>
      </c>
      <c r="F194" s="5" t="s">
        <v>9</v>
      </c>
      <c r="G194" s="2" t="s">
        <v>21</v>
      </c>
    </row>
    <row r="195" spans="1:7" x14ac:dyDescent="0.25">
      <c r="A195" s="11">
        <v>179</v>
      </c>
      <c r="B195" s="5" t="s">
        <v>309</v>
      </c>
      <c r="C195" s="11">
        <v>76147579166</v>
      </c>
      <c r="D195" s="5" t="s">
        <v>310</v>
      </c>
      <c r="E195" s="8">
        <f>64.9+101.06+141.85</f>
        <v>307.81</v>
      </c>
      <c r="F195" s="5" t="s">
        <v>9</v>
      </c>
      <c r="G195" s="2" t="s">
        <v>21</v>
      </c>
    </row>
    <row r="196" spans="1:7" x14ac:dyDescent="0.25">
      <c r="A196" s="11">
        <v>180</v>
      </c>
      <c r="B196" s="5" t="s">
        <v>354</v>
      </c>
      <c r="C196" s="11">
        <v>79378753915</v>
      </c>
      <c r="D196" s="5" t="s">
        <v>355</v>
      </c>
      <c r="E196" s="8">
        <f>877.5+875.88</f>
        <v>1753.38</v>
      </c>
      <c r="F196" s="5" t="s">
        <v>9</v>
      </c>
      <c r="G196" s="2" t="s">
        <v>21</v>
      </c>
    </row>
    <row r="197" spans="1:7" x14ac:dyDescent="0.25">
      <c r="A197" s="11">
        <v>181</v>
      </c>
      <c r="B197" s="19" t="s">
        <v>811</v>
      </c>
      <c r="C197" s="33">
        <v>40779258479</v>
      </c>
      <c r="D197" s="19" t="s">
        <v>812</v>
      </c>
      <c r="E197" s="8">
        <f>20000+55000+27221.68</f>
        <v>102221.68</v>
      </c>
      <c r="F197" s="5" t="s">
        <v>9</v>
      </c>
      <c r="G197" s="2" t="s">
        <v>21</v>
      </c>
    </row>
    <row r="198" spans="1:7" x14ac:dyDescent="0.25">
      <c r="A198" s="11">
        <v>182</v>
      </c>
      <c r="B198" s="5" t="s">
        <v>305</v>
      </c>
      <c r="C198" s="11">
        <v>53785632625</v>
      </c>
      <c r="D198" s="5" t="s">
        <v>306</v>
      </c>
      <c r="E198" s="8">
        <f>553.48+176.51+813</f>
        <v>1542.99</v>
      </c>
      <c r="F198" s="5" t="s">
        <v>9</v>
      </c>
      <c r="G198" s="2" t="s">
        <v>21</v>
      </c>
    </row>
    <row r="199" spans="1:7" x14ac:dyDescent="0.25">
      <c r="A199" s="11">
        <v>183</v>
      </c>
      <c r="B199" s="5" t="s">
        <v>330</v>
      </c>
      <c r="C199" s="11">
        <v>54661026138</v>
      </c>
      <c r="D199" s="5" t="s">
        <v>331</v>
      </c>
      <c r="E199" s="8">
        <f>441.25+183</f>
        <v>624.25</v>
      </c>
      <c r="F199" s="5" t="s">
        <v>9</v>
      </c>
      <c r="G199" s="2" t="s">
        <v>21</v>
      </c>
    </row>
    <row r="200" spans="1:7" x14ac:dyDescent="0.25">
      <c r="A200" s="11">
        <v>184</v>
      </c>
      <c r="B200" s="5" t="s">
        <v>366</v>
      </c>
      <c r="C200" s="11">
        <v>22911773746</v>
      </c>
      <c r="D200" s="5" t="s">
        <v>367</v>
      </c>
      <c r="E200" s="8">
        <f>1370+2600+2060</f>
        <v>6030</v>
      </c>
      <c r="F200" s="5" t="s">
        <v>9</v>
      </c>
      <c r="G200" s="2" t="s">
        <v>21</v>
      </c>
    </row>
    <row r="201" spans="1:7" x14ac:dyDescent="0.25">
      <c r="A201" s="11">
        <v>185</v>
      </c>
      <c r="B201" s="5" t="s">
        <v>137</v>
      </c>
      <c r="C201" s="12" t="s">
        <v>172</v>
      </c>
      <c r="D201" s="5" t="s">
        <v>171</v>
      </c>
      <c r="E201" s="8">
        <f>641.09+589.79</f>
        <v>1230.8800000000001</v>
      </c>
      <c r="F201" s="5" t="s">
        <v>9</v>
      </c>
      <c r="G201" s="2" t="s">
        <v>21</v>
      </c>
    </row>
    <row r="202" spans="1:7" x14ac:dyDescent="0.25">
      <c r="A202" s="11">
        <v>186</v>
      </c>
      <c r="B202" s="5" t="s">
        <v>382</v>
      </c>
      <c r="C202" s="11">
        <v>38867318377</v>
      </c>
      <c r="D202" s="5" t="s">
        <v>383</v>
      </c>
      <c r="E202" s="8">
        <f>394.76</f>
        <v>394.76</v>
      </c>
      <c r="F202" s="5" t="s">
        <v>9</v>
      </c>
      <c r="G202" s="2" t="s">
        <v>21</v>
      </c>
    </row>
    <row r="203" spans="1:7" x14ac:dyDescent="0.25">
      <c r="A203" s="11">
        <v>187</v>
      </c>
      <c r="B203" s="5" t="s">
        <v>430</v>
      </c>
      <c r="C203" s="11">
        <v>77170927797</v>
      </c>
      <c r="D203" s="5" t="s">
        <v>431</v>
      </c>
      <c r="E203" s="8">
        <f>95.18</f>
        <v>95.18</v>
      </c>
      <c r="F203" s="5" t="s">
        <v>9</v>
      </c>
      <c r="G203" s="2" t="s">
        <v>21</v>
      </c>
    </row>
    <row r="204" spans="1:7" x14ac:dyDescent="0.25">
      <c r="A204" s="11">
        <v>188</v>
      </c>
      <c r="B204" s="5" t="s">
        <v>415</v>
      </c>
      <c r="C204" s="11">
        <v>31826907316</v>
      </c>
      <c r="D204" s="5" t="s">
        <v>416</v>
      </c>
      <c r="E204" s="8">
        <f>2000+3000+3000+2000</f>
        <v>10000</v>
      </c>
      <c r="F204" s="5" t="s">
        <v>9</v>
      </c>
      <c r="G204" s="2" t="s">
        <v>21</v>
      </c>
    </row>
    <row r="205" spans="1:7" x14ac:dyDescent="0.25">
      <c r="A205" s="11">
        <v>189</v>
      </c>
      <c r="B205" s="5" t="s">
        <v>191</v>
      </c>
      <c r="C205" s="11">
        <v>46289034988</v>
      </c>
      <c r="D205" s="5" t="s">
        <v>193</v>
      </c>
      <c r="E205" s="8">
        <v>1093.5</v>
      </c>
      <c r="F205" s="5" t="s">
        <v>9</v>
      </c>
      <c r="G205" s="2" t="s">
        <v>192</v>
      </c>
    </row>
    <row r="206" spans="1:7" x14ac:dyDescent="0.25">
      <c r="A206" s="11">
        <v>190</v>
      </c>
      <c r="B206" s="5" t="s">
        <v>332</v>
      </c>
      <c r="C206" s="11">
        <v>92839607312</v>
      </c>
      <c r="D206" s="5" t="s">
        <v>333</v>
      </c>
      <c r="E206" s="8">
        <f>420.75+1011.63</f>
        <v>1432.38</v>
      </c>
      <c r="F206" s="5" t="s">
        <v>9</v>
      </c>
      <c r="G206" s="2" t="s">
        <v>21</v>
      </c>
    </row>
    <row r="207" spans="1:7" x14ac:dyDescent="0.25">
      <c r="A207" s="11">
        <v>191</v>
      </c>
      <c r="B207" s="5" t="s">
        <v>86</v>
      </c>
      <c r="C207" s="12" t="s">
        <v>88</v>
      </c>
      <c r="D207" s="5" t="s">
        <v>89</v>
      </c>
      <c r="E207" s="8">
        <v>1161.6500000000001</v>
      </c>
      <c r="F207" s="5" t="s">
        <v>9</v>
      </c>
      <c r="G207" s="2" t="s">
        <v>87</v>
      </c>
    </row>
    <row r="208" spans="1:7" x14ac:dyDescent="0.25">
      <c r="A208" s="11">
        <v>192</v>
      </c>
      <c r="B208" s="5" t="s">
        <v>183</v>
      </c>
      <c r="C208" s="11">
        <v>26004523816</v>
      </c>
      <c r="D208" s="5" t="s">
        <v>185</v>
      </c>
      <c r="E208" s="8">
        <f>43.83+38.15</f>
        <v>81.97999999999999</v>
      </c>
      <c r="F208" s="5" t="s">
        <v>9</v>
      </c>
      <c r="G208" s="2" t="s">
        <v>21</v>
      </c>
    </row>
    <row r="209" spans="1:7" x14ac:dyDescent="0.25">
      <c r="A209" s="11">
        <v>193</v>
      </c>
      <c r="B209" s="5" t="s">
        <v>472</v>
      </c>
      <c r="C209" s="11">
        <v>27740284011</v>
      </c>
      <c r="D209" s="5" t="s">
        <v>473</v>
      </c>
      <c r="E209" s="8">
        <v>111.25</v>
      </c>
      <c r="F209" s="5" t="s">
        <v>9</v>
      </c>
      <c r="G209" s="2" t="s">
        <v>21</v>
      </c>
    </row>
    <row r="210" spans="1:7" x14ac:dyDescent="0.25">
      <c r="A210" s="11">
        <v>194</v>
      </c>
      <c r="B210" s="5" t="s">
        <v>914</v>
      </c>
      <c r="C210" s="11" t="s">
        <v>915</v>
      </c>
      <c r="D210" s="5" t="s">
        <v>916</v>
      </c>
      <c r="E210" s="8">
        <v>1866.69</v>
      </c>
      <c r="F210" s="5" t="s">
        <v>9</v>
      </c>
      <c r="G210" s="2" t="s">
        <v>101</v>
      </c>
    </row>
    <row r="211" spans="1:7" x14ac:dyDescent="0.25">
      <c r="A211" s="11">
        <v>195</v>
      </c>
      <c r="B211" s="5" t="s">
        <v>1573</v>
      </c>
      <c r="C211" s="11">
        <v>79824224893</v>
      </c>
      <c r="D211" s="5" t="s">
        <v>1574</v>
      </c>
      <c r="E211" s="8">
        <v>27.64</v>
      </c>
      <c r="F211" s="5" t="s">
        <v>9</v>
      </c>
      <c r="G211" s="2" t="s">
        <v>21</v>
      </c>
    </row>
    <row r="212" spans="1:7" x14ac:dyDescent="0.25">
      <c r="A212" s="11">
        <v>196</v>
      </c>
      <c r="B212" s="5" t="s">
        <v>582</v>
      </c>
      <c r="C212" s="11">
        <v>38842004780</v>
      </c>
      <c r="D212" s="5" t="s">
        <v>583</v>
      </c>
      <c r="E212" s="8">
        <v>187.5</v>
      </c>
      <c r="F212" s="5" t="s">
        <v>9</v>
      </c>
      <c r="G212" s="2" t="s">
        <v>21</v>
      </c>
    </row>
    <row r="213" spans="1:7" x14ac:dyDescent="0.25">
      <c r="A213" s="11">
        <v>197</v>
      </c>
      <c r="B213" s="21" t="s">
        <v>1419</v>
      </c>
      <c r="C213" s="22">
        <v>22248533094</v>
      </c>
      <c r="D213" s="21" t="s">
        <v>1420</v>
      </c>
      <c r="E213" s="8">
        <f>357.5+3.75</f>
        <v>361.25</v>
      </c>
      <c r="F213" s="5" t="s">
        <v>9</v>
      </c>
      <c r="G213" s="2" t="s">
        <v>21</v>
      </c>
    </row>
    <row r="214" spans="1:7" x14ac:dyDescent="0.25">
      <c r="A214" s="11">
        <v>198</v>
      </c>
      <c r="B214" s="5" t="s">
        <v>1587</v>
      </c>
      <c r="C214" s="11">
        <v>14195921136</v>
      </c>
      <c r="D214" s="5" t="s">
        <v>356</v>
      </c>
      <c r="E214" s="8">
        <v>7000</v>
      </c>
      <c r="F214" s="5" t="s">
        <v>9</v>
      </c>
      <c r="G214" s="2" t="s">
        <v>21</v>
      </c>
    </row>
    <row r="215" spans="1:7" x14ac:dyDescent="0.25">
      <c r="A215" s="11">
        <v>199</v>
      </c>
      <c r="B215" s="5" t="s">
        <v>303</v>
      </c>
      <c r="C215" s="11">
        <v>40480660548</v>
      </c>
      <c r="D215" s="5" t="s">
        <v>304</v>
      </c>
      <c r="E215" s="8">
        <f>331.25+2685</f>
        <v>3016.25</v>
      </c>
      <c r="F215" s="5" t="s">
        <v>9</v>
      </c>
      <c r="G215" s="2" t="s">
        <v>21</v>
      </c>
    </row>
    <row r="216" spans="1:7" x14ac:dyDescent="0.25">
      <c r="A216" s="11">
        <v>200</v>
      </c>
      <c r="B216" s="5" t="s">
        <v>696</v>
      </c>
      <c r="C216" s="11">
        <v>51645411160</v>
      </c>
      <c r="D216" s="5" t="s">
        <v>697</v>
      </c>
      <c r="E216" s="8">
        <f>115.54+38.08</f>
        <v>153.62</v>
      </c>
      <c r="F216" s="5" t="s">
        <v>9</v>
      </c>
      <c r="G216" s="2" t="s">
        <v>21</v>
      </c>
    </row>
    <row r="217" spans="1:7" x14ac:dyDescent="0.25">
      <c r="A217" s="11">
        <v>201</v>
      </c>
      <c r="B217" s="5" t="s">
        <v>339</v>
      </c>
      <c r="C217" s="12" t="s">
        <v>341</v>
      </c>
      <c r="D217" s="5" t="s">
        <v>340</v>
      </c>
      <c r="E217" s="8">
        <f>858.81+832.5</f>
        <v>1691.31</v>
      </c>
      <c r="F217" s="5" t="s">
        <v>9</v>
      </c>
      <c r="G217" s="2" t="s">
        <v>337</v>
      </c>
    </row>
    <row r="218" spans="1:7" x14ac:dyDescent="0.25">
      <c r="A218" s="11">
        <v>202</v>
      </c>
      <c r="B218" s="5" t="s">
        <v>180</v>
      </c>
      <c r="C218" s="11">
        <v>48491501393</v>
      </c>
      <c r="D218" s="5" t="s">
        <v>181</v>
      </c>
      <c r="E218" s="8">
        <f>308.75+1000+2468.75</f>
        <v>3777.5</v>
      </c>
      <c r="F218" s="5" t="s">
        <v>9</v>
      </c>
      <c r="G218" s="2" t="s">
        <v>21</v>
      </c>
    </row>
    <row r="219" spans="1:7" x14ac:dyDescent="0.25">
      <c r="A219" s="11">
        <v>203</v>
      </c>
      <c r="B219" s="5" t="s">
        <v>648</v>
      </c>
      <c r="C219" s="11">
        <v>25339023257</v>
      </c>
      <c r="D219" s="5" t="s">
        <v>649</v>
      </c>
      <c r="E219" s="8">
        <f>163</f>
        <v>163</v>
      </c>
      <c r="F219" s="5" t="s">
        <v>9</v>
      </c>
      <c r="G219" s="2" t="s">
        <v>21</v>
      </c>
    </row>
    <row r="220" spans="1:7" x14ac:dyDescent="0.25">
      <c r="A220" s="11">
        <v>204</v>
      </c>
      <c r="B220" s="5" t="s">
        <v>375</v>
      </c>
      <c r="C220" s="11" t="s">
        <v>388</v>
      </c>
      <c r="D220" s="5" t="s">
        <v>387</v>
      </c>
      <c r="E220" s="15">
        <v>260.06</v>
      </c>
      <c r="F220" s="19" t="s">
        <v>9</v>
      </c>
      <c r="G220" s="26" t="s">
        <v>21</v>
      </c>
    </row>
    <row r="221" spans="1:7" x14ac:dyDescent="0.25">
      <c r="A221" s="11">
        <v>205</v>
      </c>
      <c r="B221" s="19" t="s">
        <v>141</v>
      </c>
      <c r="C221" s="33">
        <v>79014493590</v>
      </c>
      <c r="D221" s="19" t="s">
        <v>173</v>
      </c>
      <c r="E221" s="15">
        <v>748.13</v>
      </c>
      <c r="F221" s="19" t="s">
        <v>9</v>
      </c>
      <c r="G221" s="26" t="s">
        <v>142</v>
      </c>
    </row>
    <row r="222" spans="1:7" x14ac:dyDescent="0.25">
      <c r="A222" s="11">
        <v>206</v>
      </c>
      <c r="B222" s="5" t="s">
        <v>576</v>
      </c>
      <c r="C222" s="12">
        <v>66502008806</v>
      </c>
      <c r="D222" s="5" t="s">
        <v>577</v>
      </c>
      <c r="E222" s="15">
        <v>1537.5</v>
      </c>
      <c r="F222" s="19" t="s">
        <v>9</v>
      </c>
      <c r="G222" s="26" t="s">
        <v>21</v>
      </c>
    </row>
    <row r="223" spans="1:7" x14ac:dyDescent="0.25">
      <c r="A223" s="11">
        <v>207</v>
      </c>
      <c r="B223" s="5" t="s">
        <v>396</v>
      </c>
      <c r="C223" s="11">
        <v>63652843508</v>
      </c>
      <c r="D223" s="5" t="s">
        <v>397</v>
      </c>
      <c r="E223" s="8">
        <v>1205</v>
      </c>
      <c r="F223" s="5" t="s">
        <v>9</v>
      </c>
      <c r="G223" s="2" t="s">
        <v>211</v>
      </c>
    </row>
    <row r="224" spans="1:7" x14ac:dyDescent="0.25">
      <c r="A224" s="11">
        <v>208</v>
      </c>
      <c r="B224" s="5" t="s">
        <v>359</v>
      </c>
      <c r="C224" s="11">
        <v>41180825241</v>
      </c>
      <c r="D224" s="5" t="s">
        <v>360</v>
      </c>
      <c r="E224" s="8">
        <v>334</v>
      </c>
      <c r="F224" s="5" t="s">
        <v>9</v>
      </c>
      <c r="G224" s="2" t="s">
        <v>263</v>
      </c>
    </row>
    <row r="225" spans="1:7" x14ac:dyDescent="0.25">
      <c r="A225" s="11">
        <v>209</v>
      </c>
      <c r="B225" s="19" t="s">
        <v>1660</v>
      </c>
      <c r="C225" s="39">
        <v>13323407969</v>
      </c>
      <c r="D225" s="19" t="s">
        <v>1661</v>
      </c>
      <c r="E225" s="15">
        <v>720</v>
      </c>
      <c r="F225" s="19" t="s">
        <v>9</v>
      </c>
      <c r="G225" s="26" t="s">
        <v>453</v>
      </c>
    </row>
    <row r="226" spans="1:7" x14ac:dyDescent="0.25">
      <c r="A226" s="11">
        <v>210</v>
      </c>
      <c r="B226" s="19" t="s">
        <v>646</v>
      </c>
      <c r="C226" s="39">
        <v>59739812601</v>
      </c>
      <c r="D226" s="19" t="s">
        <v>647</v>
      </c>
      <c r="E226" s="15">
        <v>3880</v>
      </c>
      <c r="F226" s="19" t="s">
        <v>9</v>
      </c>
      <c r="G226" s="26" t="s">
        <v>21</v>
      </c>
    </row>
    <row r="227" spans="1:7" x14ac:dyDescent="0.25">
      <c r="A227" s="11">
        <v>211</v>
      </c>
      <c r="B227" s="19" t="s">
        <v>1662</v>
      </c>
      <c r="C227" s="39">
        <v>81424995264</v>
      </c>
      <c r="D227" s="19" t="s">
        <v>1663</v>
      </c>
      <c r="E227" s="15">
        <v>431.25</v>
      </c>
      <c r="F227" s="19" t="s">
        <v>9</v>
      </c>
      <c r="G227" s="2" t="s">
        <v>211</v>
      </c>
    </row>
    <row r="228" spans="1:7" x14ac:dyDescent="0.25">
      <c r="A228" s="11">
        <v>212</v>
      </c>
      <c r="B228" s="5" t="s">
        <v>763</v>
      </c>
      <c r="C228" s="12" t="s">
        <v>764</v>
      </c>
      <c r="D228" s="5" t="s">
        <v>765</v>
      </c>
      <c r="E228" s="15">
        <v>2977</v>
      </c>
      <c r="F228" s="19" t="s">
        <v>9</v>
      </c>
      <c r="G228" s="26" t="s">
        <v>21</v>
      </c>
    </row>
    <row r="229" spans="1:7" x14ac:dyDescent="0.25">
      <c r="A229" s="11">
        <v>213</v>
      </c>
      <c r="B229" s="5" t="s">
        <v>975</v>
      </c>
      <c r="C229" s="12" t="s">
        <v>976</v>
      </c>
      <c r="D229" s="5" t="s">
        <v>977</v>
      </c>
      <c r="E229" s="15">
        <v>1450</v>
      </c>
      <c r="F229" s="19" t="s">
        <v>9</v>
      </c>
      <c r="G229" s="26" t="s">
        <v>21</v>
      </c>
    </row>
    <row r="230" spans="1:7" x14ac:dyDescent="0.25">
      <c r="A230" s="11">
        <v>214</v>
      </c>
      <c r="B230" s="19" t="s">
        <v>1664</v>
      </c>
      <c r="C230" s="33" t="s">
        <v>1665</v>
      </c>
      <c r="D230" s="19" t="s">
        <v>1666</v>
      </c>
      <c r="E230" s="15">
        <v>346.8</v>
      </c>
      <c r="F230" s="19" t="s">
        <v>9</v>
      </c>
      <c r="G230" s="26" t="s">
        <v>21</v>
      </c>
    </row>
    <row r="231" spans="1:7" x14ac:dyDescent="0.25">
      <c r="A231" s="11">
        <v>215</v>
      </c>
      <c r="B231" s="19" t="s">
        <v>433</v>
      </c>
      <c r="C231" s="33">
        <v>97446189704</v>
      </c>
      <c r="D231" s="19" t="s">
        <v>434</v>
      </c>
      <c r="E231" s="15">
        <v>266.63</v>
      </c>
      <c r="F231" s="19" t="s">
        <v>9</v>
      </c>
      <c r="G231" s="26" t="s">
        <v>178</v>
      </c>
    </row>
    <row r="232" spans="1:7" x14ac:dyDescent="0.25">
      <c r="A232" s="11">
        <v>216</v>
      </c>
      <c r="B232" s="19" t="s">
        <v>1335</v>
      </c>
      <c r="C232" s="33">
        <v>61807090908</v>
      </c>
      <c r="D232" s="19" t="s">
        <v>1336</v>
      </c>
      <c r="E232" s="15">
        <f>16.94+696.63</f>
        <v>713.57</v>
      </c>
      <c r="F232" s="19" t="s">
        <v>9</v>
      </c>
      <c r="G232" s="26" t="s">
        <v>211</v>
      </c>
    </row>
    <row r="233" spans="1:7" x14ac:dyDescent="0.25">
      <c r="A233" s="11">
        <v>217</v>
      </c>
      <c r="B233" s="5" t="s">
        <v>1332</v>
      </c>
      <c r="C233" s="11">
        <v>29059177553</v>
      </c>
      <c r="D233" s="5" t="s">
        <v>1333</v>
      </c>
      <c r="E233" s="8">
        <v>137</v>
      </c>
      <c r="F233" s="5" t="s">
        <v>9</v>
      </c>
      <c r="G233" s="2" t="s">
        <v>1334</v>
      </c>
    </row>
    <row r="234" spans="1:7" x14ac:dyDescent="0.25">
      <c r="A234" s="11">
        <v>218</v>
      </c>
      <c r="B234" s="5" t="s">
        <v>523</v>
      </c>
      <c r="C234" s="11">
        <v>74056056752</v>
      </c>
      <c r="D234" s="5" t="s">
        <v>445</v>
      </c>
      <c r="E234" s="8">
        <v>100.25</v>
      </c>
      <c r="F234" s="5" t="s">
        <v>9</v>
      </c>
      <c r="G234" s="2" t="s">
        <v>21</v>
      </c>
    </row>
    <row r="235" spans="1:7" x14ac:dyDescent="0.25">
      <c r="A235" s="11">
        <v>219</v>
      </c>
      <c r="B235" s="5" t="s">
        <v>1667</v>
      </c>
      <c r="C235" s="11">
        <v>97931815981</v>
      </c>
      <c r="D235" s="5" t="s">
        <v>1668</v>
      </c>
      <c r="E235" s="8">
        <v>3105</v>
      </c>
      <c r="F235" s="5" t="s">
        <v>9</v>
      </c>
      <c r="G235" s="2" t="s">
        <v>130</v>
      </c>
    </row>
    <row r="236" spans="1:7" x14ac:dyDescent="0.25">
      <c r="A236" s="11">
        <v>220</v>
      </c>
      <c r="B236" s="5" t="s">
        <v>714</v>
      </c>
      <c r="C236" s="11">
        <v>31190261041</v>
      </c>
      <c r="D236" s="5" t="s">
        <v>715</v>
      </c>
      <c r="E236" s="8">
        <v>120</v>
      </c>
      <c r="F236" s="5" t="s">
        <v>9</v>
      </c>
      <c r="G236" s="2" t="s">
        <v>21</v>
      </c>
    </row>
    <row r="237" spans="1:7" x14ac:dyDescent="0.25">
      <c r="A237" s="11">
        <v>221</v>
      </c>
      <c r="B237" s="19" t="s">
        <v>744</v>
      </c>
      <c r="C237" s="39">
        <v>35798309099</v>
      </c>
      <c r="D237" s="19" t="s">
        <v>745</v>
      </c>
      <c r="E237" s="8">
        <f>26.7+163.4</f>
        <v>190.1</v>
      </c>
      <c r="F237" s="5" t="s">
        <v>9</v>
      </c>
      <c r="G237" s="2" t="s">
        <v>21</v>
      </c>
    </row>
    <row r="238" spans="1:7" x14ac:dyDescent="0.25">
      <c r="A238" s="11">
        <v>222</v>
      </c>
      <c r="B238" s="5" t="s">
        <v>1669</v>
      </c>
      <c r="C238" s="11" t="s">
        <v>1670</v>
      </c>
      <c r="D238" s="5" t="s">
        <v>1671</v>
      </c>
      <c r="E238" s="8">
        <f>3132+1204</f>
        <v>4336</v>
      </c>
      <c r="F238" s="5" t="s">
        <v>9</v>
      </c>
      <c r="G238" s="2" t="s">
        <v>21</v>
      </c>
    </row>
    <row r="239" spans="1:7" x14ac:dyDescent="0.25">
      <c r="A239" s="11">
        <v>223</v>
      </c>
      <c r="B239" s="5" t="s">
        <v>1672</v>
      </c>
      <c r="C239" s="11">
        <v>53900897411</v>
      </c>
      <c r="D239" s="5" t="s">
        <v>1084</v>
      </c>
      <c r="E239" s="8">
        <v>387.5</v>
      </c>
      <c r="F239" s="5" t="s">
        <v>9</v>
      </c>
      <c r="G239" s="2" t="s">
        <v>999</v>
      </c>
    </row>
    <row r="240" spans="1:7" x14ac:dyDescent="0.25">
      <c r="A240" s="11">
        <v>224</v>
      </c>
      <c r="B240" s="5" t="s">
        <v>1673</v>
      </c>
      <c r="C240" s="11">
        <v>95784226431</v>
      </c>
      <c r="D240" s="5" t="s">
        <v>1674</v>
      </c>
      <c r="E240" s="8">
        <v>165</v>
      </c>
      <c r="F240" s="5" t="s">
        <v>9</v>
      </c>
      <c r="G240" s="2" t="s">
        <v>606</v>
      </c>
    </row>
    <row r="241" spans="1:7" x14ac:dyDescent="0.25">
      <c r="A241" s="11">
        <v>225</v>
      </c>
      <c r="B241" s="5" t="s">
        <v>1675</v>
      </c>
      <c r="C241" s="11">
        <v>23035642859</v>
      </c>
      <c r="D241" s="5" t="s">
        <v>1679</v>
      </c>
      <c r="E241" s="8">
        <v>70.2</v>
      </c>
      <c r="F241" s="5" t="s">
        <v>9</v>
      </c>
      <c r="G241" s="2" t="s">
        <v>394</v>
      </c>
    </row>
    <row r="242" spans="1:7" x14ac:dyDescent="0.25">
      <c r="A242" s="11">
        <v>226</v>
      </c>
      <c r="B242" s="5" t="s">
        <v>614</v>
      </c>
      <c r="C242" s="11">
        <v>57845277445</v>
      </c>
      <c r="D242" s="5" t="s">
        <v>615</v>
      </c>
      <c r="E242" s="8">
        <v>358.25</v>
      </c>
      <c r="F242" s="5" t="s">
        <v>9</v>
      </c>
      <c r="G242" s="2" t="s">
        <v>132</v>
      </c>
    </row>
    <row r="243" spans="1:7" x14ac:dyDescent="0.25">
      <c r="A243" s="11">
        <v>227</v>
      </c>
      <c r="B243" s="5" t="s">
        <v>616</v>
      </c>
      <c r="C243" s="12">
        <v>15140147538</v>
      </c>
      <c r="D243" s="5" t="s">
        <v>384</v>
      </c>
      <c r="E243" s="8">
        <f>2000+1000+2535</f>
        <v>5535</v>
      </c>
      <c r="F243" s="5" t="s">
        <v>9</v>
      </c>
      <c r="G243" s="2" t="s">
        <v>21</v>
      </c>
    </row>
    <row r="244" spans="1:7" x14ac:dyDescent="0.25">
      <c r="A244" s="11">
        <v>228</v>
      </c>
      <c r="B244" s="5" t="s">
        <v>1676</v>
      </c>
      <c r="C244" s="12">
        <v>66345182652</v>
      </c>
      <c r="D244" s="5" t="s">
        <v>1677</v>
      </c>
      <c r="E244" s="8">
        <v>830</v>
      </c>
      <c r="F244" s="5" t="s">
        <v>9</v>
      </c>
      <c r="G244" s="2" t="s">
        <v>349</v>
      </c>
    </row>
    <row r="245" spans="1:7" x14ac:dyDescent="0.25">
      <c r="A245" s="11">
        <v>229</v>
      </c>
      <c r="B245" s="5" t="s">
        <v>525</v>
      </c>
      <c r="C245" s="11">
        <v>66402309304</v>
      </c>
      <c r="D245" s="5" t="s">
        <v>526</v>
      </c>
      <c r="E245" s="8">
        <f>264.33+2000+2000+1000+2042.75</f>
        <v>7307.08</v>
      </c>
      <c r="F245" s="5" t="s">
        <v>9</v>
      </c>
      <c r="G245" s="2" t="s">
        <v>21</v>
      </c>
    </row>
    <row r="246" spans="1:7" ht="6.75" customHeight="1" x14ac:dyDescent="0.25">
      <c r="A246" s="11"/>
      <c r="B246" s="5"/>
      <c r="C246" s="11"/>
      <c r="D246" s="5"/>
      <c r="E246" s="8"/>
      <c r="F246" s="5"/>
      <c r="G246" s="2"/>
    </row>
    <row r="247" spans="1:7" x14ac:dyDescent="0.25">
      <c r="A247" s="10"/>
      <c r="B247" s="1"/>
      <c r="C247" s="10"/>
      <c r="D247" s="1"/>
      <c r="E247" s="13"/>
      <c r="F247" s="1"/>
      <c r="G247" s="1"/>
    </row>
    <row r="248" spans="1:7" x14ac:dyDescent="0.25">
      <c r="A248" s="10"/>
      <c r="B248" s="1"/>
      <c r="C248" s="10"/>
      <c r="D248" s="53" t="s">
        <v>1678</v>
      </c>
      <c r="E248" s="63">
        <f>SUM(E11:E246)</f>
        <v>2693035.2499999991</v>
      </c>
      <c r="F248" s="1"/>
      <c r="G248" s="1"/>
    </row>
    <row r="249" spans="1:7" x14ac:dyDescent="0.25">
      <c r="A249" s="10"/>
      <c r="B249" s="1"/>
      <c r="C249" s="10"/>
      <c r="D249" s="1"/>
      <c r="E249" s="13"/>
      <c r="F249" s="1"/>
      <c r="G249" s="1"/>
    </row>
    <row r="250" spans="1:7" x14ac:dyDescent="0.25">
      <c r="A250" s="10"/>
      <c r="B250" s="1"/>
      <c r="C250" s="10"/>
      <c r="D250" s="1"/>
      <c r="E250" s="13"/>
      <c r="F250" s="1"/>
      <c r="G250" s="1"/>
    </row>
  </sheetData>
  <sheetProtection algorithmName="SHA-512" hashValue="woyXAm1KPnqssTFr/tMa7liEbX+p/+ZnhljzlmBfhlwloQTZJQuzyIVP3aRLB+WHpHsj2Bcz56H+o9zssSxSeg==" saltValue="cNi1EP43amyLfkR6+s984g==" spinCount="100000" sheet="1" objects="1" scenarios="1" selectLockedCells="1" autoFilter="0" selectUnlockedCells="1"/>
  <autoFilter ref="A10:G245" xr:uid="{94CFE8C1-3237-46AA-8877-A0B75CB52B68}"/>
  <mergeCells count="33">
    <mergeCell ref="A6:B6"/>
    <mergeCell ref="A7:B7"/>
    <mergeCell ref="C8:F8"/>
    <mergeCell ref="A31:A32"/>
    <mergeCell ref="B31:B32"/>
    <mergeCell ref="C31:C32"/>
    <mergeCell ref="D31:D32"/>
    <mergeCell ref="F31:F32"/>
    <mergeCell ref="A43:A44"/>
    <mergeCell ref="B43:B44"/>
    <mergeCell ref="C43:C44"/>
    <mergeCell ref="D43:D44"/>
    <mergeCell ref="F43:F44"/>
    <mergeCell ref="A33:A34"/>
    <mergeCell ref="B33:B34"/>
    <mergeCell ref="C33:C34"/>
    <mergeCell ref="D33:D34"/>
    <mergeCell ref="F33:F34"/>
    <mergeCell ref="A80:A81"/>
    <mergeCell ref="B80:B81"/>
    <mergeCell ref="C80:C81"/>
    <mergeCell ref="D80:D81"/>
    <mergeCell ref="F80:F81"/>
    <mergeCell ref="A55:A56"/>
    <mergeCell ref="B55:B56"/>
    <mergeCell ref="C55:C56"/>
    <mergeCell ref="D55:D56"/>
    <mergeCell ref="F55:F56"/>
    <mergeCell ref="A136:A137"/>
    <mergeCell ref="B136:B137"/>
    <mergeCell ref="C136:C137"/>
    <mergeCell ref="D136:D137"/>
    <mergeCell ref="F136:F1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CF5F-111D-467A-A5C2-1FFD0B472456}">
  <dimension ref="A5:J289"/>
  <sheetViews>
    <sheetView tabSelected="1" workbookViewId="0">
      <selection activeCell="D301" sqref="D30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1680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1106</v>
      </c>
      <c r="C12" s="11">
        <v>56822948795</v>
      </c>
      <c r="D12" s="5" t="s">
        <v>1107</v>
      </c>
      <c r="E12" s="8">
        <f>107.5</f>
        <v>107.5</v>
      </c>
      <c r="F12" s="5" t="s">
        <v>9</v>
      </c>
      <c r="G12" s="2" t="s">
        <v>349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21.52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1116</v>
      </c>
      <c r="C14" s="11">
        <v>67337315718</v>
      </c>
      <c r="D14" s="5" t="s">
        <v>1117</v>
      </c>
      <c r="E14" s="8">
        <v>213.73</v>
      </c>
      <c r="F14" s="5" t="s">
        <v>9</v>
      </c>
      <c r="G14" s="2" t="s">
        <v>21</v>
      </c>
    </row>
    <row r="15" spans="1:7" x14ac:dyDescent="0.2">
      <c r="A15" s="11">
        <v>5</v>
      </c>
      <c r="B15" s="5" t="s">
        <v>17</v>
      </c>
      <c r="C15" s="12" t="s">
        <v>25</v>
      </c>
      <c r="D15" s="9" t="s">
        <v>1362</v>
      </c>
      <c r="E15" s="8">
        <f>5658.18+5648.56</f>
        <v>11306.740000000002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f>240.35+61.66</f>
        <v>302.01</v>
      </c>
      <c r="F17" s="5" t="s">
        <v>9</v>
      </c>
      <c r="G17" s="2" t="s">
        <v>135</v>
      </c>
    </row>
    <row r="18" spans="1:9" x14ac:dyDescent="0.2">
      <c r="A18" s="11">
        <v>8</v>
      </c>
      <c r="B18" s="5" t="s">
        <v>1266</v>
      </c>
      <c r="C18" s="11">
        <v>75202805533</v>
      </c>
      <c r="D18" s="5" t="s">
        <v>1267</v>
      </c>
      <c r="E18" s="8">
        <f>63.24+26.65</f>
        <v>89.89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15</v>
      </c>
      <c r="C19" s="11" t="s">
        <v>15</v>
      </c>
      <c r="D19" s="5" t="s">
        <v>15</v>
      </c>
      <c r="E19" s="8">
        <v>1430489.43</v>
      </c>
      <c r="F19" s="5" t="s">
        <v>9</v>
      </c>
      <c r="G19" s="2" t="s">
        <v>27</v>
      </c>
      <c r="I19" s="13"/>
    </row>
    <row r="20" spans="1:9" ht="12" customHeight="1" x14ac:dyDescent="0.2">
      <c r="A20" s="11">
        <v>10</v>
      </c>
      <c r="B20" s="30" t="s">
        <v>737</v>
      </c>
      <c r="C20" s="34">
        <v>10765766984</v>
      </c>
      <c r="D20" s="30" t="s">
        <v>1609</v>
      </c>
      <c r="E20" s="8">
        <v>1463</v>
      </c>
      <c r="F20" s="5" t="s">
        <v>9</v>
      </c>
      <c r="G20" s="2" t="s">
        <v>21</v>
      </c>
      <c r="I20" s="13"/>
    </row>
    <row r="21" spans="1:9" x14ac:dyDescent="0.2">
      <c r="A21" s="11">
        <v>11</v>
      </c>
      <c r="B21" s="5" t="s">
        <v>1669</v>
      </c>
      <c r="C21" s="11" t="s">
        <v>1670</v>
      </c>
      <c r="D21" s="5" t="s">
        <v>1671</v>
      </c>
      <c r="E21" s="8">
        <v>2000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29</v>
      </c>
      <c r="C22" s="12" t="s">
        <v>32</v>
      </c>
      <c r="D22" s="5" t="s">
        <v>31</v>
      </c>
      <c r="E22" s="8">
        <f>11.18+1300.93</f>
        <v>1312.1100000000001</v>
      </c>
      <c r="F22" s="5" t="s">
        <v>9</v>
      </c>
      <c r="G22" s="2" t="s">
        <v>14</v>
      </c>
    </row>
    <row r="23" spans="1:9" x14ac:dyDescent="0.2">
      <c r="A23" s="11">
        <v>13</v>
      </c>
      <c r="B23" s="5" t="s">
        <v>689</v>
      </c>
      <c r="C23" s="11">
        <v>57500462912</v>
      </c>
      <c r="D23" s="5" t="s">
        <v>690</v>
      </c>
      <c r="E23" s="8">
        <f>900+300</f>
        <v>1200</v>
      </c>
      <c r="F23" s="5" t="s">
        <v>9</v>
      </c>
      <c r="G23" s="2" t="s">
        <v>691</v>
      </c>
    </row>
    <row r="24" spans="1:9" x14ac:dyDescent="0.2">
      <c r="A24" s="11">
        <v>14</v>
      </c>
      <c r="B24" s="5" t="s">
        <v>74</v>
      </c>
      <c r="C24" s="11">
        <v>981494061</v>
      </c>
      <c r="D24" s="5" t="s">
        <v>75</v>
      </c>
      <c r="E24" s="8">
        <f>2*836.34</f>
        <v>1672.68</v>
      </c>
      <c r="F24" s="5" t="s">
        <v>9</v>
      </c>
      <c r="G24" s="2" t="s">
        <v>45</v>
      </c>
    </row>
    <row r="25" spans="1:9" x14ac:dyDescent="0.2">
      <c r="A25" s="11">
        <v>15</v>
      </c>
      <c r="B25" s="19" t="s">
        <v>216</v>
      </c>
      <c r="C25" s="33">
        <v>72836081238</v>
      </c>
      <c r="D25" s="19" t="s">
        <v>217</v>
      </c>
      <c r="E25" s="15">
        <f>3000+4412.5+4937.5</f>
        <v>12350</v>
      </c>
      <c r="F25" s="19" t="s">
        <v>9</v>
      </c>
      <c r="G25" s="26" t="s">
        <v>21</v>
      </c>
    </row>
    <row r="26" spans="1:9" x14ac:dyDescent="0.2">
      <c r="A26" s="11">
        <v>16</v>
      </c>
      <c r="B26" s="5" t="s">
        <v>1652</v>
      </c>
      <c r="C26" s="12">
        <v>17695528532</v>
      </c>
      <c r="D26" s="5" t="s">
        <v>1653</v>
      </c>
      <c r="E26" s="8">
        <v>11</v>
      </c>
      <c r="F26" s="5" t="s">
        <v>9</v>
      </c>
      <c r="G26" s="2" t="s">
        <v>394</v>
      </c>
    </row>
    <row r="27" spans="1:9" x14ac:dyDescent="0.2">
      <c r="A27" s="11">
        <v>17</v>
      </c>
      <c r="B27" s="40" t="s">
        <v>393</v>
      </c>
      <c r="C27" s="41">
        <v>66253945791</v>
      </c>
      <c r="D27" s="40" t="s">
        <v>50</v>
      </c>
      <c r="E27" s="8">
        <f>20000+165732.74+13829.26+40000</f>
        <v>239562</v>
      </c>
      <c r="F27" s="72" t="s">
        <v>9</v>
      </c>
      <c r="G27" s="2" t="s">
        <v>41</v>
      </c>
    </row>
    <row r="28" spans="1:9" x14ac:dyDescent="0.2">
      <c r="A28" s="11">
        <v>18</v>
      </c>
      <c r="B28" s="5" t="s">
        <v>503</v>
      </c>
      <c r="C28" s="11">
        <v>27712717103</v>
      </c>
      <c r="D28" s="5" t="s">
        <v>504</v>
      </c>
      <c r="E28" s="8">
        <f>5855.63*2</f>
        <v>11711.26</v>
      </c>
      <c r="F28" s="40" t="s">
        <v>9</v>
      </c>
      <c r="G28" s="2" t="s">
        <v>64</v>
      </c>
    </row>
    <row r="29" spans="1:9" ht="12.75" thickBot="1" x14ac:dyDescent="0.25">
      <c r="A29" s="11">
        <v>19</v>
      </c>
      <c r="B29" s="5" t="s">
        <v>440</v>
      </c>
      <c r="C29" s="11">
        <v>44270699963</v>
      </c>
      <c r="D29" s="5" t="s">
        <v>441</v>
      </c>
      <c r="E29" s="18">
        <v>38.24</v>
      </c>
      <c r="F29" s="32" t="s">
        <v>9</v>
      </c>
      <c r="G29" s="29" t="s">
        <v>84</v>
      </c>
    </row>
    <row r="30" spans="1:9" ht="15" customHeight="1" x14ac:dyDescent="0.2">
      <c r="A30" s="74">
        <v>20</v>
      </c>
      <c r="B30" s="76" t="s">
        <v>55</v>
      </c>
      <c r="C30" s="74">
        <v>11471889269</v>
      </c>
      <c r="D30" s="76" t="s">
        <v>56</v>
      </c>
      <c r="E30" s="16">
        <v>10000</v>
      </c>
      <c r="F30" s="76" t="s">
        <v>9</v>
      </c>
      <c r="G30" s="28" t="s">
        <v>41</v>
      </c>
    </row>
    <row r="31" spans="1:9" ht="12.75" thickBot="1" x14ac:dyDescent="0.25">
      <c r="A31" s="75"/>
      <c r="B31" s="77"/>
      <c r="C31" s="75"/>
      <c r="D31" s="77"/>
      <c r="E31" s="18">
        <f>693.5+22000+26120.4+24540+20956.6</f>
        <v>94310.5</v>
      </c>
      <c r="F31" s="77"/>
      <c r="G31" s="29" t="s">
        <v>21</v>
      </c>
    </row>
    <row r="32" spans="1:9" x14ac:dyDescent="0.2">
      <c r="A32" s="74">
        <v>21</v>
      </c>
      <c r="B32" s="76" t="s">
        <v>57</v>
      </c>
      <c r="C32" s="74">
        <v>27759560625</v>
      </c>
      <c r="D32" s="76" t="s">
        <v>59</v>
      </c>
      <c r="E32" s="16">
        <v>6160.06</v>
      </c>
      <c r="F32" s="76" t="s">
        <v>9</v>
      </c>
      <c r="G32" s="28" t="s">
        <v>58</v>
      </c>
    </row>
    <row r="33" spans="1:7" ht="12.75" thickBot="1" x14ac:dyDescent="0.25">
      <c r="A33" s="75"/>
      <c r="B33" s="77"/>
      <c r="C33" s="75"/>
      <c r="D33" s="77"/>
      <c r="E33" s="66">
        <v>838.71</v>
      </c>
      <c r="F33" s="77"/>
      <c r="G33" s="52" t="s">
        <v>21</v>
      </c>
    </row>
    <row r="34" spans="1:7" x14ac:dyDescent="0.2">
      <c r="A34" s="34">
        <v>22</v>
      </c>
      <c r="B34" s="30" t="s">
        <v>1681</v>
      </c>
      <c r="C34" s="34">
        <v>19212513210</v>
      </c>
      <c r="D34" s="30" t="s">
        <v>1682</v>
      </c>
      <c r="E34" s="17">
        <f>3.97+146.72</f>
        <v>150.69</v>
      </c>
      <c r="F34" s="30" t="s">
        <v>9</v>
      </c>
      <c r="G34" s="31" t="s">
        <v>401</v>
      </c>
    </row>
    <row r="35" spans="1:7" x14ac:dyDescent="0.2">
      <c r="A35" s="34">
        <v>23</v>
      </c>
      <c r="B35" s="5" t="s">
        <v>126</v>
      </c>
      <c r="C35" s="11">
        <v>62534176727</v>
      </c>
      <c r="D35" s="5" t="s">
        <v>163</v>
      </c>
      <c r="E35" s="8">
        <f>2507.5+3436.25+1845</f>
        <v>7788.75</v>
      </c>
      <c r="F35" s="5" t="s">
        <v>9</v>
      </c>
      <c r="G35" s="2" t="s">
        <v>21</v>
      </c>
    </row>
    <row r="36" spans="1:7" x14ac:dyDescent="0.2">
      <c r="A36" s="34">
        <v>24</v>
      </c>
      <c r="B36" s="5" t="s">
        <v>1063</v>
      </c>
      <c r="C36" s="11">
        <v>32047404941</v>
      </c>
      <c r="D36" s="5" t="s">
        <v>1064</v>
      </c>
      <c r="E36" s="8">
        <f>1000+3000</f>
        <v>4000</v>
      </c>
      <c r="F36" s="5" t="s">
        <v>9</v>
      </c>
      <c r="G36" s="2" t="s">
        <v>21</v>
      </c>
    </row>
    <row r="37" spans="1:7" x14ac:dyDescent="0.2">
      <c r="A37" s="34">
        <v>25</v>
      </c>
      <c r="B37" s="5" t="s">
        <v>72</v>
      </c>
      <c r="C37" s="11" t="s">
        <v>15</v>
      </c>
      <c r="D37" s="5" t="s">
        <v>15</v>
      </c>
      <c r="E37" s="8">
        <v>310.24</v>
      </c>
      <c r="F37" s="5" t="s">
        <v>9</v>
      </c>
      <c r="G37" s="2" t="s">
        <v>71</v>
      </c>
    </row>
    <row r="38" spans="1:7" x14ac:dyDescent="0.2">
      <c r="A38" s="34">
        <v>26</v>
      </c>
      <c r="B38" s="5" t="s">
        <v>15</v>
      </c>
      <c r="C38" s="11" t="s">
        <v>15</v>
      </c>
      <c r="D38" s="5" t="s">
        <v>15</v>
      </c>
      <c r="E38" s="8">
        <v>2400</v>
      </c>
      <c r="F38" s="5" t="s">
        <v>9</v>
      </c>
      <c r="G38" s="2" t="s">
        <v>73</v>
      </c>
    </row>
    <row r="39" spans="1:7" x14ac:dyDescent="0.2">
      <c r="A39" s="34">
        <v>27</v>
      </c>
      <c r="B39" s="5" t="s">
        <v>422</v>
      </c>
      <c r="C39" s="11">
        <v>33813961569</v>
      </c>
      <c r="D39" s="5" t="s">
        <v>423</v>
      </c>
      <c r="E39" s="8">
        <f>53.79</f>
        <v>53.79</v>
      </c>
      <c r="F39" s="5" t="s">
        <v>9</v>
      </c>
      <c r="G39" s="2" t="s">
        <v>84</v>
      </c>
    </row>
    <row r="40" spans="1:7" x14ac:dyDescent="0.2">
      <c r="A40" s="34">
        <v>28</v>
      </c>
      <c r="B40" s="5" t="s">
        <v>446</v>
      </c>
      <c r="C40" s="11" t="s">
        <v>448</v>
      </c>
      <c r="D40" s="5" t="s">
        <v>447</v>
      </c>
      <c r="E40" s="8">
        <v>1285.3599999999999</v>
      </c>
      <c r="F40" s="5" t="s">
        <v>9</v>
      </c>
      <c r="G40" s="2" t="s">
        <v>21</v>
      </c>
    </row>
    <row r="41" spans="1:7" x14ac:dyDescent="0.2">
      <c r="A41" s="34">
        <v>29</v>
      </c>
      <c r="B41" s="5" t="s">
        <v>81</v>
      </c>
      <c r="C41" s="11">
        <v>32179081874</v>
      </c>
      <c r="D41" s="5" t="s">
        <v>82</v>
      </c>
      <c r="E41" s="15">
        <f>14.09+88.79</f>
        <v>102.88000000000001</v>
      </c>
      <c r="F41" s="19" t="s">
        <v>9</v>
      </c>
      <c r="G41" s="26" t="s">
        <v>21</v>
      </c>
    </row>
    <row r="42" spans="1:7" ht="12.75" thickBot="1" x14ac:dyDescent="0.25">
      <c r="A42" s="34">
        <v>30</v>
      </c>
      <c r="B42" s="21" t="s">
        <v>85</v>
      </c>
      <c r="C42" s="22">
        <v>76173743169</v>
      </c>
      <c r="D42" s="21" t="s">
        <v>83</v>
      </c>
      <c r="E42" s="8">
        <v>836.35</v>
      </c>
      <c r="F42" s="21" t="s">
        <v>9</v>
      </c>
      <c r="G42" s="2" t="s">
        <v>80</v>
      </c>
    </row>
    <row r="43" spans="1:7" x14ac:dyDescent="0.2">
      <c r="A43" s="74">
        <v>31</v>
      </c>
      <c r="B43" s="76" t="s">
        <v>91</v>
      </c>
      <c r="C43" s="74">
        <v>34976993601</v>
      </c>
      <c r="D43" s="76" t="s">
        <v>92</v>
      </c>
      <c r="E43" s="16">
        <f>200.96+352.5+309.29+233.87+368.05</f>
        <v>1464.6699999999998</v>
      </c>
      <c r="F43" s="76" t="s">
        <v>9</v>
      </c>
      <c r="G43" s="28" t="s">
        <v>90</v>
      </c>
    </row>
    <row r="44" spans="1:7" ht="12.75" thickBot="1" x14ac:dyDescent="0.25">
      <c r="A44" s="75"/>
      <c r="B44" s="77"/>
      <c r="C44" s="75"/>
      <c r="D44" s="77"/>
      <c r="E44" s="18">
        <f>329.68+122.5+341.44</f>
        <v>793.62</v>
      </c>
      <c r="F44" s="77"/>
      <c r="G44" s="29" t="s">
        <v>211</v>
      </c>
    </row>
    <row r="45" spans="1:7" x14ac:dyDescent="0.2">
      <c r="A45" s="34">
        <v>32</v>
      </c>
      <c r="B45" s="30" t="s">
        <v>15</v>
      </c>
      <c r="C45" s="34" t="s">
        <v>15</v>
      </c>
      <c r="D45" s="30" t="s">
        <v>15</v>
      </c>
      <c r="E45" s="17">
        <f>1737.97+6.94</f>
        <v>1744.91</v>
      </c>
      <c r="F45" s="30" t="s">
        <v>9</v>
      </c>
      <c r="G45" s="31" t="s">
        <v>93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v>48071.22</v>
      </c>
      <c r="F46" s="5" t="s">
        <v>9</v>
      </c>
      <c r="G46" s="2" t="s">
        <v>94</v>
      </c>
    </row>
    <row r="47" spans="1:7" x14ac:dyDescent="0.2">
      <c r="A47" s="11">
        <v>34</v>
      </c>
      <c r="B47" s="5" t="s">
        <v>15</v>
      </c>
      <c r="C47" s="11" t="s">
        <v>15</v>
      </c>
      <c r="D47" s="5" t="s">
        <v>15</v>
      </c>
      <c r="E47" s="8">
        <v>160.80000000000001</v>
      </c>
      <c r="F47" s="5" t="s">
        <v>9</v>
      </c>
      <c r="G47" s="2" t="s">
        <v>700</v>
      </c>
    </row>
    <row r="48" spans="1:7" x14ac:dyDescent="0.2">
      <c r="A48" s="11">
        <v>35</v>
      </c>
      <c r="B48" s="5" t="s">
        <v>137</v>
      </c>
      <c r="C48" s="12" t="s">
        <v>172</v>
      </c>
      <c r="D48" s="5" t="s">
        <v>171</v>
      </c>
      <c r="E48" s="15">
        <v>630.42999999999995</v>
      </c>
      <c r="F48" s="19" t="s">
        <v>9</v>
      </c>
      <c r="G48" s="26" t="s">
        <v>21</v>
      </c>
    </row>
    <row r="49" spans="1:7" x14ac:dyDescent="0.2">
      <c r="A49" s="11">
        <v>36</v>
      </c>
      <c r="B49" s="5" t="s">
        <v>117</v>
      </c>
      <c r="C49" s="11">
        <v>19422090987</v>
      </c>
      <c r="D49" s="5" t="s">
        <v>155</v>
      </c>
      <c r="E49" s="15">
        <v>260</v>
      </c>
      <c r="F49" s="19" t="s">
        <v>9</v>
      </c>
      <c r="G49" s="26" t="s">
        <v>21</v>
      </c>
    </row>
    <row r="50" spans="1:7" x14ac:dyDescent="0.2">
      <c r="A50" s="11">
        <v>37</v>
      </c>
      <c r="B50" s="19" t="s">
        <v>293</v>
      </c>
      <c r="C50" s="33">
        <v>89027343720</v>
      </c>
      <c r="D50" s="19" t="s">
        <v>294</v>
      </c>
      <c r="E50" s="15">
        <f>107.5+1277.78</f>
        <v>1385.28</v>
      </c>
      <c r="F50" s="19" t="s">
        <v>9</v>
      </c>
      <c r="G50" s="26" t="s">
        <v>21</v>
      </c>
    </row>
    <row r="51" spans="1:7" x14ac:dyDescent="0.2">
      <c r="A51" s="11">
        <v>38</v>
      </c>
      <c r="B51" s="5" t="s">
        <v>252</v>
      </c>
      <c r="C51" s="11">
        <v>47530485643</v>
      </c>
      <c r="D51" s="5" t="s">
        <v>253</v>
      </c>
      <c r="E51" s="15">
        <f>252.5+125</f>
        <v>377.5</v>
      </c>
      <c r="F51" s="19" t="s">
        <v>9</v>
      </c>
      <c r="G51" s="26" t="s">
        <v>21</v>
      </c>
    </row>
    <row r="52" spans="1:7" x14ac:dyDescent="0.2">
      <c r="A52" s="11">
        <v>39</v>
      </c>
      <c r="B52" s="5" t="s">
        <v>223</v>
      </c>
      <c r="C52" s="11" t="s">
        <v>225</v>
      </c>
      <c r="D52" s="5" t="s">
        <v>224</v>
      </c>
      <c r="E52" s="15">
        <v>1118.76</v>
      </c>
      <c r="F52" s="19" t="s">
        <v>9</v>
      </c>
      <c r="G52" s="26" t="s">
        <v>21</v>
      </c>
    </row>
    <row r="53" spans="1:7" x14ac:dyDescent="0.2">
      <c r="A53" s="11">
        <v>40</v>
      </c>
      <c r="B53" s="5" t="s">
        <v>532</v>
      </c>
      <c r="C53" s="12">
        <v>58187157652</v>
      </c>
      <c r="D53" s="5" t="s">
        <v>533</v>
      </c>
      <c r="E53" s="8">
        <v>3543.75</v>
      </c>
      <c r="F53" s="5" t="s">
        <v>9</v>
      </c>
      <c r="G53" s="2" t="s">
        <v>211</v>
      </c>
    </row>
    <row r="54" spans="1:7" x14ac:dyDescent="0.2">
      <c r="A54" s="11">
        <v>41</v>
      </c>
      <c r="B54" s="5" t="s">
        <v>836</v>
      </c>
      <c r="C54" s="12" t="s">
        <v>837</v>
      </c>
      <c r="D54" s="5" t="s">
        <v>838</v>
      </c>
      <c r="E54" s="15">
        <v>12960</v>
      </c>
      <c r="F54" s="19" t="s">
        <v>9</v>
      </c>
      <c r="G54" s="26" t="s">
        <v>21</v>
      </c>
    </row>
    <row r="55" spans="1:7" x14ac:dyDescent="0.2">
      <c r="A55" s="11">
        <v>42</v>
      </c>
      <c r="B55" s="19" t="s">
        <v>1683</v>
      </c>
      <c r="C55" s="39" t="s">
        <v>1684</v>
      </c>
      <c r="D55" s="19" t="s">
        <v>1685</v>
      </c>
      <c r="E55" s="15">
        <v>12320</v>
      </c>
      <c r="F55" s="19" t="s">
        <v>9</v>
      </c>
      <c r="G55" s="26" t="s">
        <v>21</v>
      </c>
    </row>
    <row r="56" spans="1:7" x14ac:dyDescent="0.2">
      <c r="A56" s="11">
        <v>43</v>
      </c>
      <c r="B56" s="19" t="s">
        <v>1686</v>
      </c>
      <c r="C56" s="33">
        <v>65278787645</v>
      </c>
      <c r="D56" s="19" t="s">
        <v>1687</v>
      </c>
      <c r="E56" s="15">
        <v>59.73</v>
      </c>
      <c r="F56" s="19" t="s">
        <v>9</v>
      </c>
      <c r="G56" s="26" t="s">
        <v>130</v>
      </c>
    </row>
    <row r="57" spans="1:7" x14ac:dyDescent="0.2">
      <c r="A57" s="11">
        <v>44</v>
      </c>
      <c r="B57" s="19" t="s">
        <v>1148</v>
      </c>
      <c r="C57" s="33">
        <v>48293321289</v>
      </c>
      <c r="D57" s="19" t="s">
        <v>1149</v>
      </c>
      <c r="E57" s="15">
        <v>950</v>
      </c>
      <c r="F57" s="19" t="s">
        <v>9</v>
      </c>
      <c r="G57" s="26" t="s">
        <v>21</v>
      </c>
    </row>
    <row r="58" spans="1:7" x14ac:dyDescent="0.2">
      <c r="A58" s="11">
        <v>45</v>
      </c>
      <c r="B58" s="19" t="s">
        <v>1688</v>
      </c>
      <c r="C58" s="33">
        <v>55249109071</v>
      </c>
      <c r="D58" s="19" t="s">
        <v>1689</v>
      </c>
      <c r="E58" s="15">
        <v>378.75</v>
      </c>
      <c r="F58" s="19" t="s">
        <v>9</v>
      </c>
      <c r="G58" s="26" t="s">
        <v>21</v>
      </c>
    </row>
    <row r="59" spans="1:7" x14ac:dyDescent="0.2">
      <c r="A59" s="11">
        <v>46</v>
      </c>
      <c r="B59" s="19" t="s">
        <v>1690</v>
      </c>
      <c r="C59" s="33">
        <v>68766660289</v>
      </c>
      <c r="D59" s="19" t="s">
        <v>353</v>
      </c>
      <c r="E59" s="15">
        <v>55.44</v>
      </c>
      <c r="F59" s="19" t="s">
        <v>9</v>
      </c>
      <c r="G59" s="26" t="s">
        <v>21</v>
      </c>
    </row>
    <row r="60" spans="1:7" x14ac:dyDescent="0.2">
      <c r="A60" s="11">
        <v>47</v>
      </c>
      <c r="B60" s="19" t="s">
        <v>1205</v>
      </c>
      <c r="C60" s="33">
        <v>97251793486</v>
      </c>
      <c r="D60" s="19" t="s">
        <v>1206</v>
      </c>
      <c r="E60" s="8">
        <v>120</v>
      </c>
      <c r="F60" s="5" t="s">
        <v>9</v>
      </c>
      <c r="G60" s="2" t="s">
        <v>453</v>
      </c>
    </row>
    <row r="61" spans="1:7" x14ac:dyDescent="0.2">
      <c r="A61" s="11">
        <v>48</v>
      </c>
      <c r="B61" s="5" t="s">
        <v>877</v>
      </c>
      <c r="C61" s="11">
        <v>13534526502</v>
      </c>
      <c r="D61" s="5" t="s">
        <v>878</v>
      </c>
      <c r="E61" s="15">
        <v>3333.13</v>
      </c>
      <c r="F61" s="19" t="s">
        <v>9</v>
      </c>
      <c r="G61" s="26" t="s">
        <v>21</v>
      </c>
    </row>
    <row r="62" spans="1:7" x14ac:dyDescent="0.2">
      <c r="A62" s="11">
        <v>49</v>
      </c>
      <c r="B62" s="19" t="s">
        <v>646</v>
      </c>
      <c r="C62" s="33">
        <v>59739812601</v>
      </c>
      <c r="D62" s="19" t="s">
        <v>647</v>
      </c>
      <c r="E62" s="15">
        <v>5575</v>
      </c>
      <c r="F62" s="19" t="s">
        <v>9</v>
      </c>
      <c r="G62" s="26" t="s">
        <v>21</v>
      </c>
    </row>
    <row r="63" spans="1:7" x14ac:dyDescent="0.2">
      <c r="A63" s="11">
        <v>50</v>
      </c>
      <c r="B63" s="19" t="s">
        <v>1691</v>
      </c>
      <c r="C63" s="33" t="s">
        <v>1692</v>
      </c>
      <c r="D63" s="19" t="s">
        <v>1693</v>
      </c>
      <c r="E63" s="15">
        <v>175</v>
      </c>
      <c r="F63" s="19" t="s">
        <v>9</v>
      </c>
      <c r="G63" s="26" t="s">
        <v>21</v>
      </c>
    </row>
    <row r="64" spans="1:7" x14ac:dyDescent="0.2">
      <c r="A64" s="11">
        <v>51</v>
      </c>
      <c r="B64" s="19" t="s">
        <v>893</v>
      </c>
      <c r="C64" s="33" t="s">
        <v>1694</v>
      </c>
      <c r="D64" s="19" t="s">
        <v>1695</v>
      </c>
      <c r="E64" s="15">
        <v>259</v>
      </c>
      <c r="F64" s="19" t="s">
        <v>9</v>
      </c>
      <c r="G64" s="26" t="s">
        <v>21</v>
      </c>
    </row>
    <row r="65" spans="1:7" x14ac:dyDescent="0.2">
      <c r="A65" s="11">
        <v>52</v>
      </c>
      <c r="B65" s="19" t="s">
        <v>1603</v>
      </c>
      <c r="C65" s="33">
        <v>57636759173</v>
      </c>
      <c r="D65" s="19" t="s">
        <v>1604</v>
      </c>
      <c r="E65" s="15">
        <v>618.62</v>
      </c>
      <c r="F65" s="19" t="s">
        <v>9</v>
      </c>
      <c r="G65" s="26" t="s">
        <v>211</v>
      </c>
    </row>
    <row r="66" spans="1:7" x14ac:dyDescent="0.2">
      <c r="A66" s="11">
        <v>53</v>
      </c>
      <c r="B66" s="19" t="s">
        <v>1545</v>
      </c>
      <c r="C66" s="33">
        <v>44037104964</v>
      </c>
      <c r="D66" s="19" t="s">
        <v>1546</v>
      </c>
      <c r="E66" s="15">
        <v>350</v>
      </c>
      <c r="F66" s="19" t="s">
        <v>9</v>
      </c>
      <c r="G66" s="26" t="s">
        <v>606</v>
      </c>
    </row>
    <row r="67" spans="1:7" x14ac:dyDescent="0.2">
      <c r="A67" s="11">
        <v>54</v>
      </c>
      <c r="B67" s="19" t="s">
        <v>1696</v>
      </c>
      <c r="C67" s="33">
        <v>63935501357</v>
      </c>
      <c r="D67" s="19" t="s">
        <v>1697</v>
      </c>
      <c r="E67" s="15">
        <f>412.5+137.5</f>
        <v>550</v>
      </c>
      <c r="F67" s="19" t="s">
        <v>9</v>
      </c>
      <c r="G67" s="26" t="s">
        <v>90</v>
      </c>
    </row>
    <row r="68" spans="1:7" x14ac:dyDescent="0.2">
      <c r="A68" s="11">
        <v>55</v>
      </c>
      <c r="B68" s="19" t="s">
        <v>1698</v>
      </c>
      <c r="C68" s="39" t="s">
        <v>1699</v>
      </c>
      <c r="D68" s="19" t="s">
        <v>1700</v>
      </c>
      <c r="E68" s="15">
        <v>521</v>
      </c>
      <c r="F68" s="19" t="s">
        <v>9</v>
      </c>
      <c r="G68" s="26" t="s">
        <v>130</v>
      </c>
    </row>
    <row r="69" spans="1:7" x14ac:dyDescent="0.2">
      <c r="A69" s="11">
        <v>56</v>
      </c>
      <c r="B69" s="5" t="s">
        <v>662</v>
      </c>
      <c r="C69" s="12" t="s">
        <v>1519</v>
      </c>
      <c r="D69" s="5" t="s">
        <v>664</v>
      </c>
      <c r="E69" s="8">
        <v>239.74</v>
      </c>
      <c r="F69" s="5" t="s">
        <v>9</v>
      </c>
      <c r="G69" s="2" t="s">
        <v>968</v>
      </c>
    </row>
    <row r="70" spans="1:7" x14ac:dyDescent="0.2">
      <c r="A70" s="11">
        <v>57</v>
      </c>
      <c r="B70" s="19" t="s">
        <v>1701</v>
      </c>
      <c r="C70" s="33">
        <v>62871653225</v>
      </c>
      <c r="D70" s="19" t="s">
        <v>1702</v>
      </c>
      <c r="E70" s="15">
        <v>187.5</v>
      </c>
      <c r="F70" s="19" t="s">
        <v>9</v>
      </c>
      <c r="G70" s="2" t="s">
        <v>968</v>
      </c>
    </row>
    <row r="71" spans="1:7" x14ac:dyDescent="0.2">
      <c r="A71" s="11">
        <v>58</v>
      </c>
      <c r="B71" s="5" t="s">
        <v>289</v>
      </c>
      <c r="C71" s="11">
        <v>95325472047</v>
      </c>
      <c r="D71" s="5" t="s">
        <v>290</v>
      </c>
      <c r="E71" s="15">
        <f>35686.86+5000+10000</f>
        <v>50686.86</v>
      </c>
      <c r="F71" s="19" t="s">
        <v>9</v>
      </c>
      <c r="G71" s="26" t="s">
        <v>21</v>
      </c>
    </row>
    <row r="72" spans="1:7" x14ac:dyDescent="0.2">
      <c r="A72" s="11">
        <v>59</v>
      </c>
      <c r="B72" s="5" t="s">
        <v>1672</v>
      </c>
      <c r="C72" s="11">
        <v>53900897411</v>
      </c>
      <c r="D72" s="5" t="s">
        <v>1084</v>
      </c>
      <c r="E72" s="8">
        <v>606.25</v>
      </c>
      <c r="F72" s="5" t="s">
        <v>9</v>
      </c>
      <c r="G72" s="2" t="s">
        <v>999</v>
      </c>
    </row>
    <row r="73" spans="1:7" x14ac:dyDescent="0.2">
      <c r="A73" s="11">
        <v>60</v>
      </c>
      <c r="B73" s="5" t="s">
        <v>1140</v>
      </c>
      <c r="C73" s="12" t="s">
        <v>1141</v>
      </c>
      <c r="D73" s="5" t="s">
        <v>1142</v>
      </c>
      <c r="E73" s="8">
        <v>11800</v>
      </c>
      <c r="F73" s="5" t="s">
        <v>9</v>
      </c>
      <c r="G73" s="2" t="s">
        <v>21</v>
      </c>
    </row>
    <row r="74" spans="1:7" x14ac:dyDescent="0.2">
      <c r="A74" s="11">
        <v>61</v>
      </c>
      <c r="B74" s="5" t="s">
        <v>1703</v>
      </c>
      <c r="C74" s="12" t="s">
        <v>1704</v>
      </c>
      <c r="D74" s="5" t="s">
        <v>1259</v>
      </c>
      <c r="E74" s="15">
        <v>3700</v>
      </c>
      <c r="F74" s="19" t="s">
        <v>9</v>
      </c>
      <c r="G74" s="26" t="s">
        <v>1705</v>
      </c>
    </row>
    <row r="75" spans="1:7" x14ac:dyDescent="0.2">
      <c r="A75" s="11">
        <v>62</v>
      </c>
      <c r="B75" s="5" t="s">
        <v>544</v>
      </c>
      <c r="C75" s="11">
        <v>61373622132</v>
      </c>
      <c r="D75" s="5" t="s">
        <v>545</v>
      </c>
      <c r="E75" s="15">
        <v>172.75</v>
      </c>
      <c r="F75" s="19" t="s">
        <v>9</v>
      </c>
      <c r="G75" s="26" t="s">
        <v>21</v>
      </c>
    </row>
    <row r="76" spans="1:7" x14ac:dyDescent="0.2">
      <c r="A76" s="11">
        <v>63</v>
      </c>
      <c r="B76" s="5" t="s">
        <v>1543</v>
      </c>
      <c r="C76" s="11">
        <v>72702911449</v>
      </c>
      <c r="D76" s="5" t="s">
        <v>1544</v>
      </c>
      <c r="E76" s="8">
        <v>220</v>
      </c>
      <c r="F76" s="5" t="s">
        <v>9</v>
      </c>
      <c r="G76" s="2" t="s">
        <v>1284</v>
      </c>
    </row>
    <row r="77" spans="1:7" x14ac:dyDescent="0.2">
      <c r="A77" s="11">
        <v>64</v>
      </c>
      <c r="B77" s="19" t="s">
        <v>1533</v>
      </c>
      <c r="C77" s="33">
        <v>18458216879</v>
      </c>
      <c r="D77" s="19" t="s">
        <v>1534</v>
      </c>
      <c r="E77" s="8">
        <v>131.9</v>
      </c>
      <c r="F77" s="5" t="s">
        <v>9</v>
      </c>
      <c r="G77" s="2" t="s">
        <v>845</v>
      </c>
    </row>
    <row r="78" spans="1:7" x14ac:dyDescent="0.2">
      <c r="A78" s="11">
        <v>65</v>
      </c>
      <c r="B78" s="5" t="s">
        <v>1188</v>
      </c>
      <c r="C78" s="12">
        <v>12151785235</v>
      </c>
      <c r="D78" s="5" t="s">
        <v>1189</v>
      </c>
      <c r="E78" s="8">
        <v>232.5</v>
      </c>
      <c r="F78" s="5" t="s">
        <v>9</v>
      </c>
      <c r="G78" s="2" t="s">
        <v>241</v>
      </c>
    </row>
    <row r="79" spans="1:7" x14ac:dyDescent="0.2">
      <c r="A79" s="11">
        <v>66</v>
      </c>
      <c r="B79" s="5" t="s">
        <v>972</v>
      </c>
      <c r="C79" s="11" t="s">
        <v>973</v>
      </c>
      <c r="D79" s="5" t="s">
        <v>974</v>
      </c>
      <c r="E79" s="15">
        <f>30000+7000+10000</f>
        <v>47000</v>
      </c>
      <c r="F79" s="19" t="s">
        <v>9</v>
      </c>
      <c r="G79" s="26" t="s">
        <v>21</v>
      </c>
    </row>
    <row r="80" spans="1:7" x14ac:dyDescent="0.2">
      <c r="A80" s="11">
        <v>67</v>
      </c>
      <c r="B80" s="19" t="s">
        <v>1706</v>
      </c>
      <c r="C80" s="33">
        <v>86742905038</v>
      </c>
      <c r="D80" s="19" t="s">
        <v>1707</v>
      </c>
      <c r="E80" s="15">
        <v>590</v>
      </c>
      <c r="F80" s="19" t="s">
        <v>9</v>
      </c>
      <c r="G80" s="26" t="s">
        <v>211</v>
      </c>
    </row>
    <row r="81" spans="1:7" x14ac:dyDescent="0.2">
      <c r="A81" s="11">
        <v>68</v>
      </c>
      <c r="B81" s="5" t="s">
        <v>339</v>
      </c>
      <c r="C81" s="12" t="s">
        <v>341</v>
      </c>
      <c r="D81" s="5" t="s">
        <v>340</v>
      </c>
      <c r="E81" s="8">
        <f>897.75</f>
        <v>897.75</v>
      </c>
      <c r="F81" s="5" t="s">
        <v>9</v>
      </c>
      <c r="G81" s="2" t="s">
        <v>337</v>
      </c>
    </row>
    <row r="82" spans="1:7" x14ac:dyDescent="0.2">
      <c r="A82" s="11">
        <v>69</v>
      </c>
      <c r="B82" s="40" t="s">
        <v>1373</v>
      </c>
      <c r="C82" s="41">
        <v>80653493587</v>
      </c>
      <c r="D82" s="40" t="s">
        <v>1374</v>
      </c>
      <c r="E82" s="15">
        <v>1072.5</v>
      </c>
      <c r="F82" s="19" t="s">
        <v>9</v>
      </c>
      <c r="G82" s="26" t="s">
        <v>21</v>
      </c>
    </row>
    <row r="83" spans="1:7" x14ac:dyDescent="0.2">
      <c r="A83" s="11">
        <v>70</v>
      </c>
      <c r="B83" s="5" t="s">
        <v>357</v>
      </c>
      <c r="C83" s="11">
        <v>7882320813</v>
      </c>
      <c r="D83" s="5" t="s">
        <v>358</v>
      </c>
      <c r="E83" s="8">
        <f>28.9</f>
        <v>28.9</v>
      </c>
      <c r="F83" s="5" t="s">
        <v>9</v>
      </c>
      <c r="G83" s="2" t="s">
        <v>263</v>
      </c>
    </row>
    <row r="84" spans="1:7" x14ac:dyDescent="0.2">
      <c r="A84" s="11">
        <v>71</v>
      </c>
      <c r="B84" s="5" t="s">
        <v>86</v>
      </c>
      <c r="C84" s="12" t="s">
        <v>88</v>
      </c>
      <c r="D84" s="5" t="s">
        <v>89</v>
      </c>
      <c r="E84" s="8">
        <v>1161.6500000000001</v>
      </c>
      <c r="F84" s="5" t="s">
        <v>9</v>
      </c>
      <c r="G84" s="2" t="s">
        <v>87</v>
      </c>
    </row>
    <row r="85" spans="1:7" x14ac:dyDescent="0.2">
      <c r="A85" s="11">
        <v>72</v>
      </c>
      <c r="B85" s="5" t="s">
        <v>1592</v>
      </c>
      <c r="C85" s="11">
        <v>31775386831</v>
      </c>
      <c r="D85" s="5" t="s">
        <v>1593</v>
      </c>
      <c r="E85" s="8">
        <v>1687.5</v>
      </c>
      <c r="F85" s="5" t="s">
        <v>9</v>
      </c>
      <c r="G85" s="2" t="s">
        <v>1576</v>
      </c>
    </row>
    <row r="86" spans="1:7" x14ac:dyDescent="0.2">
      <c r="A86" s="11">
        <v>73</v>
      </c>
      <c r="B86" s="5" t="s">
        <v>233</v>
      </c>
      <c r="C86" s="11">
        <v>98656691838</v>
      </c>
      <c r="D86" s="5" t="s">
        <v>234</v>
      </c>
      <c r="E86" s="15">
        <f>3166.25+2975</f>
        <v>6141.25</v>
      </c>
      <c r="F86" s="19" t="s">
        <v>9</v>
      </c>
      <c r="G86" s="26" t="s">
        <v>21</v>
      </c>
    </row>
    <row r="87" spans="1:7" x14ac:dyDescent="0.2">
      <c r="A87" s="11">
        <v>74</v>
      </c>
      <c r="B87" s="5" t="s">
        <v>718</v>
      </c>
      <c r="C87" s="11">
        <v>57495737984</v>
      </c>
      <c r="D87" s="5" t="s">
        <v>719</v>
      </c>
      <c r="E87" s="8">
        <v>1932.75</v>
      </c>
      <c r="F87" s="5" t="s">
        <v>9</v>
      </c>
      <c r="G87" s="2" t="s">
        <v>211</v>
      </c>
    </row>
    <row r="88" spans="1:7" x14ac:dyDescent="0.2">
      <c r="A88" s="11">
        <v>75</v>
      </c>
      <c r="B88" s="19" t="s">
        <v>42</v>
      </c>
      <c r="C88" s="33">
        <v>63073332379</v>
      </c>
      <c r="D88" s="19" t="s">
        <v>52</v>
      </c>
      <c r="E88" s="15">
        <v>6193.24</v>
      </c>
      <c r="F88" s="19" t="s">
        <v>9</v>
      </c>
      <c r="G88" s="26" t="s">
        <v>44</v>
      </c>
    </row>
    <row r="89" spans="1:7" x14ac:dyDescent="0.2">
      <c r="A89" s="11">
        <v>76</v>
      </c>
      <c r="B89" s="5" t="s">
        <v>1583</v>
      </c>
      <c r="C89" s="12" t="s">
        <v>773</v>
      </c>
      <c r="D89" s="5" t="s">
        <v>1584</v>
      </c>
      <c r="E89" s="8">
        <f>1224.52+134.3</f>
        <v>1358.82</v>
      </c>
      <c r="F89" s="5" t="s">
        <v>9</v>
      </c>
      <c r="G89" s="2" t="s">
        <v>21</v>
      </c>
    </row>
    <row r="90" spans="1:7" x14ac:dyDescent="0.2">
      <c r="A90" s="11">
        <v>77</v>
      </c>
      <c r="B90" s="19" t="s">
        <v>466</v>
      </c>
      <c r="C90" s="33">
        <v>30568370357</v>
      </c>
      <c r="D90" s="19" t="s">
        <v>467</v>
      </c>
      <c r="E90" s="15">
        <f>2*187.5+1100</f>
        <v>1475</v>
      </c>
      <c r="F90" s="19" t="s">
        <v>9</v>
      </c>
      <c r="G90" s="26" t="s">
        <v>211</v>
      </c>
    </row>
    <row r="91" spans="1:7" x14ac:dyDescent="0.2">
      <c r="A91" s="11">
        <v>78</v>
      </c>
      <c r="B91" s="5" t="s">
        <v>373</v>
      </c>
      <c r="C91" s="11">
        <v>75725588375</v>
      </c>
      <c r="D91" s="5" t="s">
        <v>374</v>
      </c>
      <c r="E91" s="15">
        <f>697.5+1942+1410.75</f>
        <v>4050.25</v>
      </c>
      <c r="F91" s="19" t="s">
        <v>9</v>
      </c>
      <c r="G91" s="26" t="s">
        <v>21</v>
      </c>
    </row>
    <row r="92" spans="1:7" x14ac:dyDescent="0.2">
      <c r="A92" s="11">
        <v>79</v>
      </c>
      <c r="B92" s="5" t="s">
        <v>784</v>
      </c>
      <c r="C92" s="11">
        <v>69927324836</v>
      </c>
      <c r="D92" s="5" t="s">
        <v>785</v>
      </c>
      <c r="E92" s="15">
        <v>631.34</v>
      </c>
      <c r="F92" s="19" t="s">
        <v>9</v>
      </c>
      <c r="G92" s="26" t="s">
        <v>21</v>
      </c>
    </row>
    <row r="93" spans="1:7" x14ac:dyDescent="0.2">
      <c r="A93" s="11">
        <v>80</v>
      </c>
      <c r="B93" s="19" t="s">
        <v>1372</v>
      </c>
      <c r="C93" s="39">
        <v>58530688474</v>
      </c>
      <c r="D93" s="19" t="s">
        <v>1123</v>
      </c>
      <c r="E93" s="8">
        <f>118.05</f>
        <v>118.05</v>
      </c>
      <c r="F93" s="5" t="s">
        <v>9</v>
      </c>
      <c r="G93" s="2" t="s">
        <v>21</v>
      </c>
    </row>
    <row r="94" spans="1:7" x14ac:dyDescent="0.2">
      <c r="A94" s="11">
        <v>81</v>
      </c>
      <c r="B94" s="5" t="s">
        <v>536</v>
      </c>
      <c r="C94" s="11">
        <v>33548604975</v>
      </c>
      <c r="D94" s="5" t="s">
        <v>537</v>
      </c>
      <c r="E94" s="8">
        <v>170.5</v>
      </c>
      <c r="F94" s="5" t="s">
        <v>9</v>
      </c>
      <c r="G94" s="2" t="s">
        <v>21</v>
      </c>
    </row>
    <row r="95" spans="1:7" x14ac:dyDescent="0.2">
      <c r="A95" s="11">
        <v>82</v>
      </c>
      <c r="B95" s="5" t="s">
        <v>1367</v>
      </c>
      <c r="C95" s="12" t="s">
        <v>1368</v>
      </c>
      <c r="D95" s="5" t="s">
        <v>1369</v>
      </c>
      <c r="E95" s="8">
        <f>120+61.25+70</f>
        <v>251.25</v>
      </c>
      <c r="F95" s="5" t="s">
        <v>9</v>
      </c>
      <c r="G95" s="2" t="s">
        <v>1069</v>
      </c>
    </row>
    <row r="96" spans="1:7" x14ac:dyDescent="0.2">
      <c r="A96" s="11">
        <v>83</v>
      </c>
      <c r="B96" s="5" t="s">
        <v>303</v>
      </c>
      <c r="C96" s="11">
        <v>40480660548</v>
      </c>
      <c r="D96" s="5" t="s">
        <v>304</v>
      </c>
      <c r="E96" s="8">
        <f>2000+1000+4000</f>
        <v>7000</v>
      </c>
      <c r="F96" s="5" t="s">
        <v>9</v>
      </c>
      <c r="G96" s="2" t="s">
        <v>21</v>
      </c>
    </row>
    <row r="97" spans="1:9" x14ac:dyDescent="0.2">
      <c r="A97" s="11">
        <v>84</v>
      </c>
      <c r="B97" s="5" t="s">
        <v>380</v>
      </c>
      <c r="C97" s="11">
        <v>25706416813</v>
      </c>
      <c r="D97" s="5" t="s">
        <v>391</v>
      </c>
      <c r="E97" s="8">
        <v>315.64999999999998</v>
      </c>
      <c r="F97" s="5" t="s">
        <v>9</v>
      </c>
      <c r="G97" s="2" t="s">
        <v>21</v>
      </c>
    </row>
    <row r="98" spans="1:9" x14ac:dyDescent="0.2">
      <c r="A98" s="11">
        <v>85</v>
      </c>
      <c r="B98" s="5" t="s">
        <v>281</v>
      </c>
      <c r="C98" s="11">
        <v>90439696130</v>
      </c>
      <c r="D98" s="5" t="s">
        <v>282</v>
      </c>
      <c r="E98" s="8">
        <f>278+615.8+606+24.46+57.6</f>
        <v>1581.86</v>
      </c>
      <c r="F98" s="5" t="s">
        <v>9</v>
      </c>
      <c r="G98" s="2" t="s">
        <v>394</v>
      </c>
    </row>
    <row r="99" spans="1:9" x14ac:dyDescent="0.2">
      <c r="A99" s="11">
        <v>86</v>
      </c>
      <c r="B99" s="5" t="s">
        <v>1489</v>
      </c>
      <c r="C99" s="11">
        <v>74956515628</v>
      </c>
      <c r="D99" s="5" t="s">
        <v>1490</v>
      </c>
      <c r="E99" s="8">
        <v>4467.9799999999996</v>
      </c>
      <c r="F99" s="5" t="s">
        <v>9</v>
      </c>
      <c r="G99" s="2" t="s">
        <v>21</v>
      </c>
    </row>
    <row r="100" spans="1:9" x14ac:dyDescent="0.2">
      <c r="A100" s="11">
        <v>87</v>
      </c>
      <c r="B100" s="5" t="s">
        <v>552</v>
      </c>
      <c r="C100" s="11" t="s">
        <v>302</v>
      </c>
      <c r="D100" s="5" t="s">
        <v>1629</v>
      </c>
      <c r="E100" s="8">
        <v>826.47</v>
      </c>
      <c r="F100" s="5" t="s">
        <v>9</v>
      </c>
      <c r="G100" s="2" t="s">
        <v>21</v>
      </c>
    </row>
    <row r="101" spans="1:9" x14ac:dyDescent="0.2">
      <c r="A101" s="11">
        <v>88</v>
      </c>
      <c r="B101" s="21" t="s">
        <v>103</v>
      </c>
      <c r="C101" s="22">
        <v>81793146560</v>
      </c>
      <c r="D101" s="21" t="s">
        <v>104</v>
      </c>
      <c r="E101" s="8">
        <f>16.8+2355.48</f>
        <v>2372.2800000000002</v>
      </c>
      <c r="F101" s="5" t="s">
        <v>9</v>
      </c>
      <c r="G101" s="2" t="s">
        <v>212</v>
      </c>
    </row>
    <row r="102" spans="1:9" x14ac:dyDescent="0.2">
      <c r="A102" s="11">
        <v>89</v>
      </c>
      <c r="B102" s="5" t="s">
        <v>1708</v>
      </c>
      <c r="C102" s="11">
        <v>50024748563</v>
      </c>
      <c r="D102" s="5" t="s">
        <v>1084</v>
      </c>
      <c r="E102" s="8">
        <v>736.25</v>
      </c>
      <c r="F102" s="5" t="s">
        <v>9</v>
      </c>
      <c r="G102" s="2" t="s">
        <v>1085</v>
      </c>
      <c r="I102" s="13"/>
    </row>
    <row r="103" spans="1:9" x14ac:dyDescent="0.2">
      <c r="A103" s="11">
        <v>90</v>
      </c>
      <c r="B103" s="5" t="s">
        <v>917</v>
      </c>
      <c r="C103" s="11">
        <v>56717147376</v>
      </c>
      <c r="D103" s="5" t="s">
        <v>365</v>
      </c>
      <c r="E103" s="8">
        <f>575.63</f>
        <v>575.63</v>
      </c>
      <c r="F103" s="5" t="s">
        <v>9</v>
      </c>
      <c r="G103" s="2" t="s">
        <v>21</v>
      </c>
    </row>
    <row r="104" spans="1:9" x14ac:dyDescent="0.2">
      <c r="A104" s="11">
        <v>91</v>
      </c>
      <c r="B104" s="5" t="s">
        <v>108</v>
      </c>
      <c r="C104" s="11">
        <v>46163832762</v>
      </c>
      <c r="D104" s="5" t="s">
        <v>151</v>
      </c>
      <c r="E104" s="8">
        <v>179.01</v>
      </c>
      <c r="F104" s="5" t="s">
        <v>9</v>
      </c>
      <c r="G104" s="2" t="s">
        <v>84</v>
      </c>
    </row>
    <row r="105" spans="1:9" x14ac:dyDescent="0.2">
      <c r="A105" s="11">
        <v>92</v>
      </c>
      <c r="B105" s="5" t="s">
        <v>110</v>
      </c>
      <c r="C105" s="11">
        <v>41412434130</v>
      </c>
      <c r="D105" s="5" t="s">
        <v>147</v>
      </c>
      <c r="E105" s="8">
        <v>253.3</v>
      </c>
      <c r="F105" s="5" t="s">
        <v>9</v>
      </c>
      <c r="G105" s="2" t="s">
        <v>84</v>
      </c>
    </row>
    <row r="106" spans="1:9" x14ac:dyDescent="0.2">
      <c r="A106" s="11">
        <v>93</v>
      </c>
      <c r="B106" s="5" t="s">
        <v>112</v>
      </c>
      <c r="C106" s="12" t="s">
        <v>152</v>
      </c>
      <c r="D106" s="5" t="s">
        <v>153</v>
      </c>
      <c r="E106" s="8">
        <f>193.88+114.53</f>
        <v>308.40999999999997</v>
      </c>
      <c r="F106" s="5" t="s">
        <v>9</v>
      </c>
      <c r="G106" s="2" t="s">
        <v>84</v>
      </c>
    </row>
    <row r="107" spans="1:9" ht="12.75" thickBot="1" x14ac:dyDescent="0.25">
      <c r="A107" s="11">
        <v>94</v>
      </c>
      <c r="B107" s="5" t="s">
        <v>113</v>
      </c>
      <c r="C107" s="11">
        <v>85584865987</v>
      </c>
      <c r="D107" s="5" t="s">
        <v>154</v>
      </c>
      <c r="E107" s="8">
        <f>2423.75+1899.27</f>
        <v>4323.0200000000004</v>
      </c>
      <c r="F107" s="5" t="s">
        <v>9</v>
      </c>
      <c r="G107" s="2" t="s">
        <v>84</v>
      </c>
    </row>
    <row r="108" spans="1:9" ht="15" customHeight="1" x14ac:dyDescent="0.2">
      <c r="A108" s="74">
        <v>95</v>
      </c>
      <c r="B108" s="76" t="s">
        <v>114</v>
      </c>
      <c r="C108" s="74" t="s">
        <v>432</v>
      </c>
      <c r="D108" s="76" t="s">
        <v>432</v>
      </c>
      <c r="E108" s="16">
        <f>160</f>
        <v>160</v>
      </c>
      <c r="F108" s="88" t="s">
        <v>9</v>
      </c>
      <c r="G108" s="28" t="s">
        <v>349</v>
      </c>
    </row>
    <row r="109" spans="1:9" ht="15" customHeight="1" x14ac:dyDescent="0.2">
      <c r="A109" s="80"/>
      <c r="B109" s="79"/>
      <c r="C109" s="80"/>
      <c r="D109" s="79"/>
      <c r="E109" s="17">
        <v>33.18</v>
      </c>
      <c r="F109" s="89"/>
      <c r="G109" s="31" t="s">
        <v>1709</v>
      </c>
    </row>
    <row r="110" spans="1:9" ht="15" customHeight="1" x14ac:dyDescent="0.2">
      <c r="A110" s="80"/>
      <c r="B110" s="79"/>
      <c r="C110" s="80"/>
      <c r="D110" s="79"/>
      <c r="E110" s="97">
        <v>1213.3599999999999</v>
      </c>
      <c r="F110" s="89"/>
      <c r="G110" s="62" t="s">
        <v>1062</v>
      </c>
    </row>
    <row r="111" spans="1:9" ht="12.75" thickBot="1" x14ac:dyDescent="0.25">
      <c r="A111" s="75"/>
      <c r="B111" s="77"/>
      <c r="C111" s="75"/>
      <c r="D111" s="77"/>
      <c r="E111" s="18">
        <v>1940</v>
      </c>
      <c r="F111" s="92"/>
      <c r="G111" s="29" t="s">
        <v>115</v>
      </c>
    </row>
    <row r="112" spans="1:9" x14ac:dyDescent="0.2">
      <c r="A112" s="24">
        <v>96</v>
      </c>
      <c r="B112" s="42" t="s">
        <v>481</v>
      </c>
      <c r="C112" s="24">
        <v>11374156664</v>
      </c>
      <c r="D112" s="42" t="s">
        <v>482</v>
      </c>
      <c r="E112" s="17">
        <f>19.8</f>
        <v>19.8</v>
      </c>
      <c r="F112" s="43" t="s">
        <v>9</v>
      </c>
      <c r="G112" s="31" t="s">
        <v>116</v>
      </c>
    </row>
    <row r="113" spans="1:9" x14ac:dyDescent="0.2">
      <c r="A113" s="11">
        <v>97</v>
      </c>
      <c r="B113" s="5" t="s">
        <v>291</v>
      </c>
      <c r="C113" s="11">
        <v>38411868043</v>
      </c>
      <c r="D113" s="5" t="s">
        <v>292</v>
      </c>
      <c r="E113" s="8">
        <f>12375+5375+5000</f>
        <v>22750</v>
      </c>
      <c r="F113" s="5" t="s">
        <v>9</v>
      </c>
      <c r="G113" s="2" t="s">
        <v>21</v>
      </c>
    </row>
    <row r="114" spans="1:9" x14ac:dyDescent="0.2">
      <c r="A114" s="11">
        <v>98</v>
      </c>
      <c r="B114" s="5" t="s">
        <v>879</v>
      </c>
      <c r="C114" s="11">
        <v>55175013491</v>
      </c>
      <c r="D114" s="5" t="s">
        <v>880</v>
      </c>
      <c r="E114" s="8">
        <f>2000+2000+4191.84+376.88+2000</f>
        <v>10568.72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260</v>
      </c>
      <c r="C115" s="11">
        <v>42769559951</v>
      </c>
      <c r="D115" s="5" t="s">
        <v>261</v>
      </c>
      <c r="E115" s="8">
        <f>2000+5965.9</f>
        <v>7965.9</v>
      </c>
      <c r="F115" s="5" t="s">
        <v>9</v>
      </c>
      <c r="G115" s="2" t="s">
        <v>21</v>
      </c>
    </row>
    <row r="116" spans="1:9" x14ac:dyDescent="0.2">
      <c r="A116" s="11">
        <v>100</v>
      </c>
      <c r="B116" s="5" t="s">
        <v>993</v>
      </c>
      <c r="C116" s="11">
        <v>29035933600</v>
      </c>
      <c r="D116" s="5" t="s">
        <v>317</v>
      </c>
      <c r="E116" s="8">
        <v>5885.74</v>
      </c>
      <c r="F116" s="5" t="s">
        <v>9</v>
      </c>
      <c r="G116" s="2" t="s">
        <v>195</v>
      </c>
    </row>
    <row r="117" spans="1:9" x14ac:dyDescent="0.2">
      <c r="A117" s="11">
        <v>101</v>
      </c>
      <c r="B117" s="5" t="s">
        <v>620</v>
      </c>
      <c r="C117" s="11">
        <v>95962863587</v>
      </c>
      <c r="D117" s="5" t="s">
        <v>621</v>
      </c>
      <c r="E117" s="8"/>
      <c r="F117" s="5" t="s">
        <v>9</v>
      </c>
      <c r="G117" s="2" t="s">
        <v>211</v>
      </c>
    </row>
    <row r="118" spans="1:9" x14ac:dyDescent="0.2">
      <c r="A118" s="11">
        <v>102</v>
      </c>
      <c r="B118" s="5" t="s">
        <v>215</v>
      </c>
      <c r="C118" s="11">
        <v>83416546499</v>
      </c>
      <c r="D118" s="5" t="s">
        <v>218</v>
      </c>
      <c r="E118" s="8">
        <v>37.49</v>
      </c>
      <c r="F118" s="5" t="s">
        <v>9</v>
      </c>
      <c r="G118" s="2" t="s">
        <v>47</v>
      </c>
    </row>
    <row r="119" spans="1:9" x14ac:dyDescent="0.2">
      <c r="A119" s="11">
        <v>103</v>
      </c>
      <c r="B119" s="40" t="s">
        <v>129</v>
      </c>
      <c r="C119" s="41">
        <v>52233171260</v>
      </c>
      <c r="D119" s="40" t="s">
        <v>165</v>
      </c>
      <c r="E119" s="8">
        <f>2875+2000+2311.35+16284.2+5125.33+3025.85</f>
        <v>31621.730000000003</v>
      </c>
      <c r="F119" s="40" t="s">
        <v>9</v>
      </c>
      <c r="G119" s="2" t="s">
        <v>21</v>
      </c>
    </row>
    <row r="120" spans="1:9" x14ac:dyDescent="0.2">
      <c r="A120" s="11">
        <v>104</v>
      </c>
      <c r="B120" s="25" t="s">
        <v>127</v>
      </c>
      <c r="C120" s="24">
        <v>87682591133</v>
      </c>
      <c r="D120" s="25" t="s">
        <v>164</v>
      </c>
      <c r="E120" s="17">
        <f>5353.23+5108.63</f>
        <v>10461.86</v>
      </c>
      <c r="F120" s="25" t="s">
        <v>9</v>
      </c>
      <c r="G120" s="31" t="s">
        <v>21</v>
      </c>
      <c r="I120" s="13"/>
    </row>
    <row r="121" spans="1:9" x14ac:dyDescent="0.2">
      <c r="A121" s="11">
        <v>105</v>
      </c>
      <c r="B121" s="42" t="s">
        <v>128</v>
      </c>
      <c r="C121" s="34">
        <v>19849957757</v>
      </c>
      <c r="D121" s="42" t="s">
        <v>166</v>
      </c>
      <c r="E121" s="17">
        <f>1507+34903.08+5780+10000</f>
        <v>52190.080000000002</v>
      </c>
      <c r="F121" s="42" t="s">
        <v>9</v>
      </c>
      <c r="G121" s="31" t="s">
        <v>21</v>
      </c>
    </row>
    <row r="122" spans="1:9" x14ac:dyDescent="0.2">
      <c r="A122" s="11">
        <v>106</v>
      </c>
      <c r="B122" s="5" t="s">
        <v>118</v>
      </c>
      <c r="C122" s="11">
        <v>33001753417</v>
      </c>
      <c r="D122" s="5" t="s">
        <v>157</v>
      </c>
      <c r="E122" s="8">
        <f>227.5+3000+1000+2069+1460+2554.75</f>
        <v>10311.25</v>
      </c>
      <c r="F122" s="5" t="s">
        <v>9</v>
      </c>
      <c r="G122" s="2" t="s">
        <v>21</v>
      </c>
    </row>
    <row r="123" spans="1:9" x14ac:dyDescent="0.2">
      <c r="A123" s="11">
        <v>107</v>
      </c>
      <c r="B123" s="5" t="s">
        <v>15</v>
      </c>
      <c r="C123" s="11" t="s">
        <v>15</v>
      </c>
      <c r="D123" s="5" t="s">
        <v>15</v>
      </c>
      <c r="E123" s="8">
        <v>5168.6400000000003</v>
      </c>
      <c r="F123" s="5" t="s">
        <v>9</v>
      </c>
      <c r="G123" s="2" t="s">
        <v>1710</v>
      </c>
    </row>
    <row r="124" spans="1:9" x14ac:dyDescent="0.2">
      <c r="A124" s="11">
        <v>108</v>
      </c>
      <c r="B124" s="5" t="s">
        <v>15</v>
      </c>
      <c r="C124" s="11" t="s">
        <v>15</v>
      </c>
      <c r="D124" s="5" t="s">
        <v>15</v>
      </c>
      <c r="E124" s="8">
        <f>600+3851.22</f>
        <v>4451.2199999999993</v>
      </c>
      <c r="F124" s="5" t="s">
        <v>9</v>
      </c>
      <c r="G124" s="2" t="s">
        <v>134</v>
      </c>
    </row>
    <row r="125" spans="1:9" x14ac:dyDescent="0.2">
      <c r="A125" s="11">
        <v>109</v>
      </c>
      <c r="B125" s="5" t="s">
        <v>169</v>
      </c>
      <c r="C125" s="11">
        <v>62969535840</v>
      </c>
      <c r="D125" s="5" t="s">
        <v>170</v>
      </c>
      <c r="E125" s="8">
        <f>67.48</f>
        <v>67.48</v>
      </c>
      <c r="F125" s="5" t="s">
        <v>9</v>
      </c>
      <c r="G125" s="2" t="s">
        <v>21</v>
      </c>
    </row>
    <row r="126" spans="1:9" x14ac:dyDescent="0.2">
      <c r="A126" s="11">
        <v>110</v>
      </c>
      <c r="B126" s="5" t="s">
        <v>420</v>
      </c>
      <c r="C126" s="11">
        <v>11294943436</v>
      </c>
      <c r="D126" s="5" t="s">
        <v>421</v>
      </c>
      <c r="E126" s="8">
        <v>84.64</v>
      </c>
      <c r="F126" s="5" t="s">
        <v>9</v>
      </c>
      <c r="G126" s="2" t="s">
        <v>84</v>
      </c>
    </row>
    <row r="127" spans="1:9" x14ac:dyDescent="0.2">
      <c r="A127" s="11">
        <v>111</v>
      </c>
      <c r="B127" s="5" t="s">
        <v>403</v>
      </c>
      <c r="C127" s="11" t="s">
        <v>404</v>
      </c>
      <c r="D127" s="5" t="s">
        <v>405</v>
      </c>
      <c r="E127" s="8">
        <f>135.9+9.9</f>
        <v>145.80000000000001</v>
      </c>
      <c r="F127" s="5" t="s">
        <v>9</v>
      </c>
      <c r="G127" s="2" t="s">
        <v>21</v>
      </c>
    </row>
    <row r="128" spans="1:9" x14ac:dyDescent="0.2">
      <c r="A128" s="11">
        <v>112</v>
      </c>
      <c r="B128" s="5" t="s">
        <v>15</v>
      </c>
      <c r="C128" s="11" t="s">
        <v>15</v>
      </c>
      <c r="D128" s="5" t="s">
        <v>15</v>
      </c>
      <c r="E128" s="8">
        <v>410.22</v>
      </c>
      <c r="F128" s="5" t="s">
        <v>9</v>
      </c>
      <c r="G128" s="2" t="s">
        <v>146</v>
      </c>
    </row>
    <row r="129" spans="1:10" x14ac:dyDescent="0.2">
      <c r="A129" s="11">
        <v>113</v>
      </c>
      <c r="B129" s="5" t="s">
        <v>177</v>
      </c>
      <c r="C129" s="11">
        <v>49800593791</v>
      </c>
      <c r="D129" s="5" t="s">
        <v>179</v>
      </c>
      <c r="E129" s="8">
        <f>4015.7+2367.12+1383.7+2000+7000+62.5+2000+2210.36</f>
        <v>21039.38</v>
      </c>
      <c r="F129" s="5" t="s">
        <v>9</v>
      </c>
      <c r="G129" s="2" t="s">
        <v>1289</v>
      </c>
    </row>
    <row r="130" spans="1:10" x14ac:dyDescent="0.2">
      <c r="A130" s="11">
        <v>114</v>
      </c>
      <c r="B130" s="40" t="s">
        <v>182</v>
      </c>
      <c r="C130" s="41">
        <v>47428597158</v>
      </c>
      <c r="D130" s="40" t="s">
        <v>184</v>
      </c>
      <c r="E130" s="8">
        <f>1881.19+3050+475+4659.57</f>
        <v>10065.76</v>
      </c>
      <c r="F130" s="40" t="s">
        <v>9</v>
      </c>
      <c r="G130" s="2" t="s">
        <v>21</v>
      </c>
      <c r="I130" s="13"/>
    </row>
    <row r="131" spans="1:10" x14ac:dyDescent="0.2">
      <c r="A131" s="11">
        <v>115</v>
      </c>
      <c r="B131" s="5" t="s">
        <v>186</v>
      </c>
      <c r="C131" s="12" t="s">
        <v>188</v>
      </c>
      <c r="D131" s="5" t="s">
        <v>187</v>
      </c>
      <c r="E131" s="8">
        <f>197.56</f>
        <v>197.56</v>
      </c>
      <c r="F131" s="5" t="s">
        <v>9</v>
      </c>
      <c r="G131" s="2" t="s">
        <v>84</v>
      </c>
    </row>
    <row r="132" spans="1:10" x14ac:dyDescent="0.2">
      <c r="A132" s="11">
        <v>116</v>
      </c>
      <c r="B132" s="5" t="s">
        <v>513</v>
      </c>
      <c r="C132" s="11">
        <v>73294314024</v>
      </c>
      <c r="D132" s="5" t="s">
        <v>402</v>
      </c>
      <c r="E132" s="8">
        <f>294.23+856.99</f>
        <v>1151.22</v>
      </c>
      <c r="F132" s="5" t="s">
        <v>9</v>
      </c>
      <c r="G132" s="2" t="s">
        <v>401</v>
      </c>
    </row>
    <row r="133" spans="1:10" x14ac:dyDescent="0.2">
      <c r="A133" s="11">
        <v>117</v>
      </c>
      <c r="B133" s="5" t="s">
        <v>197</v>
      </c>
      <c r="C133" s="11">
        <v>63988426425</v>
      </c>
      <c r="D133" s="5" t="s">
        <v>198</v>
      </c>
      <c r="E133" s="8">
        <f>4972.01+10381.82+7764.37+2408.75+6615.06+8006.94+6278.74</f>
        <v>46427.69</v>
      </c>
      <c r="F133" s="5" t="s">
        <v>9</v>
      </c>
      <c r="G133" s="2" t="s">
        <v>21</v>
      </c>
    </row>
    <row r="134" spans="1:10" x14ac:dyDescent="0.2">
      <c r="A134" s="11">
        <v>118</v>
      </c>
      <c r="B134" s="21" t="s">
        <v>102</v>
      </c>
      <c r="C134" s="22">
        <v>70133616033</v>
      </c>
      <c r="D134" s="21" t="s">
        <v>105</v>
      </c>
      <c r="E134" s="8">
        <v>2443.4699999999998</v>
      </c>
      <c r="F134" s="5" t="s">
        <v>9</v>
      </c>
      <c r="G134" s="2" t="s">
        <v>212</v>
      </c>
    </row>
    <row r="135" spans="1:10" x14ac:dyDescent="0.2">
      <c r="A135" s="11">
        <v>119</v>
      </c>
      <c r="B135" s="61" t="s">
        <v>213</v>
      </c>
      <c r="C135" s="41">
        <v>65952859647</v>
      </c>
      <c r="D135" s="40" t="s">
        <v>214</v>
      </c>
      <c r="E135" s="8">
        <f>2437.5+23391.25+4762.5+22892.5</f>
        <v>53483.75</v>
      </c>
      <c r="F135" s="61" t="s">
        <v>9</v>
      </c>
      <c r="G135" s="2" t="s">
        <v>21</v>
      </c>
    </row>
    <row r="136" spans="1:10" x14ac:dyDescent="0.2">
      <c r="A136" s="11">
        <v>120</v>
      </c>
      <c r="B136" s="5" t="s">
        <v>426</v>
      </c>
      <c r="C136" s="11">
        <v>85821130368</v>
      </c>
      <c r="D136" s="5" t="s">
        <v>427</v>
      </c>
      <c r="E136" s="8">
        <v>49.78</v>
      </c>
      <c r="F136" s="25" t="s">
        <v>9</v>
      </c>
      <c r="G136" s="2" t="s">
        <v>132</v>
      </c>
    </row>
    <row r="137" spans="1:10" x14ac:dyDescent="0.2">
      <c r="A137" s="11">
        <v>121</v>
      </c>
      <c r="B137" s="5" t="s">
        <v>208</v>
      </c>
      <c r="C137" s="11">
        <v>10235187780</v>
      </c>
      <c r="D137" s="5" t="s">
        <v>210</v>
      </c>
      <c r="E137" s="8">
        <f>354.3+324.78</f>
        <v>679.07999999999993</v>
      </c>
      <c r="F137" s="5" t="s">
        <v>9</v>
      </c>
      <c r="G137" s="2" t="s">
        <v>209</v>
      </c>
    </row>
    <row r="138" spans="1:10" x14ac:dyDescent="0.2">
      <c r="A138" s="11">
        <v>122</v>
      </c>
      <c r="B138" s="5" t="s">
        <v>219</v>
      </c>
      <c r="C138" s="11">
        <v>60314119747</v>
      </c>
      <c r="D138" s="5" t="s">
        <v>217</v>
      </c>
      <c r="E138" s="8">
        <f>40000+41533.36</f>
        <v>81533.36</v>
      </c>
      <c r="F138" s="5" t="s">
        <v>9</v>
      </c>
      <c r="G138" s="2" t="s">
        <v>21</v>
      </c>
    </row>
    <row r="139" spans="1:10" x14ac:dyDescent="0.2">
      <c r="A139" s="11">
        <v>123</v>
      </c>
      <c r="B139" s="5" t="s">
        <v>226</v>
      </c>
      <c r="C139" s="12" t="s">
        <v>228</v>
      </c>
      <c r="D139" s="5" t="s">
        <v>227</v>
      </c>
      <c r="E139" s="8">
        <f>3650+6000+1200+475+4000+3787.63+4000</f>
        <v>23112.63</v>
      </c>
      <c r="F139" s="5" t="s">
        <v>9</v>
      </c>
      <c r="G139" s="2" t="s">
        <v>21</v>
      </c>
    </row>
    <row r="140" spans="1:10" x14ac:dyDescent="0.2">
      <c r="A140" s="11">
        <v>124</v>
      </c>
      <c r="B140" s="5" t="s">
        <v>229</v>
      </c>
      <c r="C140" s="11">
        <v>95243482140</v>
      </c>
      <c r="D140" s="5" t="s">
        <v>230</v>
      </c>
      <c r="E140" s="8">
        <f>289.5+405.4+321.04+299.41+1060.88+515.49+258.24</f>
        <v>3149.96</v>
      </c>
      <c r="F140" s="5" t="s">
        <v>9</v>
      </c>
      <c r="G140" s="2" t="s">
        <v>21</v>
      </c>
    </row>
    <row r="141" spans="1:10" x14ac:dyDescent="0.2">
      <c r="A141" s="11">
        <v>125</v>
      </c>
      <c r="B141" s="5" t="s">
        <v>505</v>
      </c>
      <c r="C141" s="11">
        <v>57270798205</v>
      </c>
      <c r="D141" s="5" t="s">
        <v>506</v>
      </c>
      <c r="E141" s="8">
        <f>995.5+995.5+498.56</f>
        <v>2489.56</v>
      </c>
      <c r="F141" s="5" t="s">
        <v>9</v>
      </c>
      <c r="G141" s="2" t="s">
        <v>11</v>
      </c>
    </row>
    <row r="142" spans="1:10" x14ac:dyDescent="0.2">
      <c r="A142" s="11">
        <v>126</v>
      </c>
      <c r="B142" s="5" t="s">
        <v>66</v>
      </c>
      <c r="C142" s="11">
        <v>42889250808</v>
      </c>
      <c r="D142" s="5" t="s">
        <v>68</v>
      </c>
      <c r="E142" s="8">
        <v>101.93</v>
      </c>
      <c r="F142" s="5" t="s">
        <v>9</v>
      </c>
      <c r="G142" s="2" t="s">
        <v>64</v>
      </c>
    </row>
    <row r="143" spans="1:10" x14ac:dyDescent="0.2">
      <c r="A143" s="11">
        <v>127</v>
      </c>
      <c r="B143" s="5" t="s">
        <v>250</v>
      </c>
      <c r="C143" s="11">
        <v>78969071801</v>
      </c>
      <c r="D143" s="5" t="s">
        <v>251</v>
      </c>
      <c r="E143" s="8">
        <f>37.5+1487.47+4000</f>
        <v>5524.97</v>
      </c>
      <c r="F143" s="5" t="s">
        <v>9</v>
      </c>
      <c r="G143" s="2" t="s">
        <v>21</v>
      </c>
      <c r="J143" s="13"/>
    </row>
    <row r="144" spans="1:10" x14ac:dyDescent="0.2">
      <c r="A144" s="11">
        <v>128</v>
      </c>
      <c r="B144" s="5" t="s">
        <v>307</v>
      </c>
      <c r="C144" s="11">
        <v>48633701387</v>
      </c>
      <c r="D144" s="5" t="s">
        <v>308</v>
      </c>
      <c r="E144" s="8">
        <f>86.71+27.5</f>
        <v>114.21</v>
      </c>
      <c r="F144" s="5" t="s">
        <v>9</v>
      </c>
      <c r="G144" s="2" t="s">
        <v>21</v>
      </c>
    </row>
    <row r="145" spans="1:7" x14ac:dyDescent="0.2">
      <c r="A145" s="11">
        <v>129</v>
      </c>
      <c r="B145" s="5" t="s">
        <v>269</v>
      </c>
      <c r="C145" s="11">
        <v>48249084626</v>
      </c>
      <c r="D145" s="5" t="s">
        <v>270</v>
      </c>
      <c r="E145" s="8">
        <f>623.99+1016.22+1570.91+157.32+316.42</f>
        <v>3684.86</v>
      </c>
      <c r="F145" s="5" t="s">
        <v>9</v>
      </c>
      <c r="G145" s="2" t="s">
        <v>21</v>
      </c>
    </row>
    <row r="146" spans="1:7" x14ac:dyDescent="0.2">
      <c r="A146" s="11">
        <v>130</v>
      </c>
      <c r="B146" s="5" t="s">
        <v>267</v>
      </c>
      <c r="C146" s="11">
        <v>64021574271</v>
      </c>
      <c r="D146" s="5" t="s">
        <v>268</v>
      </c>
      <c r="E146" s="8">
        <f>361.15+8.75+19.44+3141.8</f>
        <v>3531.1400000000003</v>
      </c>
      <c r="F146" s="5" t="s">
        <v>9</v>
      </c>
      <c r="G146" s="2" t="s">
        <v>21</v>
      </c>
    </row>
    <row r="147" spans="1:7" x14ac:dyDescent="0.2">
      <c r="A147" s="11">
        <v>131</v>
      </c>
      <c r="B147" s="5" t="s">
        <v>277</v>
      </c>
      <c r="C147" s="11">
        <v>60365429880</v>
      </c>
      <c r="D147" s="5" t="s">
        <v>278</v>
      </c>
      <c r="E147" s="8">
        <f>246.58+228.23+126.21+275.45+284+188.03+27.75</f>
        <v>1376.25</v>
      </c>
      <c r="F147" s="5" t="s">
        <v>9</v>
      </c>
      <c r="G147" s="2" t="s">
        <v>21</v>
      </c>
    </row>
    <row r="148" spans="1:7" x14ac:dyDescent="0.2">
      <c r="A148" s="11">
        <v>132</v>
      </c>
      <c r="B148" s="5" t="s">
        <v>279</v>
      </c>
      <c r="C148" s="11">
        <v>37879152548</v>
      </c>
      <c r="D148" s="5" t="s">
        <v>280</v>
      </c>
      <c r="E148" s="8">
        <f>558+577.5+330</f>
        <v>1465.5</v>
      </c>
      <c r="F148" s="5" t="s">
        <v>9</v>
      </c>
      <c r="G148" s="2" t="s">
        <v>21</v>
      </c>
    </row>
    <row r="149" spans="1:7" x14ac:dyDescent="0.2">
      <c r="A149" s="11">
        <v>133</v>
      </c>
      <c r="B149" s="5" t="s">
        <v>324</v>
      </c>
      <c r="C149" s="11">
        <v>64008199572</v>
      </c>
      <c r="D149" s="5" t="s">
        <v>325</v>
      </c>
      <c r="E149" s="8">
        <f>205.3+107.5</f>
        <v>312.8</v>
      </c>
      <c r="F149" s="5" t="s">
        <v>9</v>
      </c>
      <c r="G149" s="2" t="s">
        <v>21</v>
      </c>
    </row>
    <row r="150" spans="1:7" x14ac:dyDescent="0.2">
      <c r="A150" s="11">
        <v>134</v>
      </c>
      <c r="B150" s="5" t="s">
        <v>283</v>
      </c>
      <c r="C150" s="11">
        <v>39048902955</v>
      </c>
      <c r="D150" s="5" t="s">
        <v>284</v>
      </c>
      <c r="E150" s="8">
        <v>574.03</v>
      </c>
      <c r="F150" s="5" t="s">
        <v>9</v>
      </c>
      <c r="G150" s="2" t="s">
        <v>47</v>
      </c>
    </row>
    <row r="151" spans="1:7" x14ac:dyDescent="0.2">
      <c r="A151" s="11">
        <v>135</v>
      </c>
      <c r="B151" s="5" t="s">
        <v>285</v>
      </c>
      <c r="C151" s="11">
        <v>85375838060</v>
      </c>
      <c r="D151" s="5" t="s">
        <v>286</v>
      </c>
      <c r="E151" s="8">
        <f>71.38+28.55+28.55+285.5+71.38</f>
        <v>485.36</v>
      </c>
      <c r="F151" s="5" t="s">
        <v>9</v>
      </c>
      <c r="G151" s="2" t="s">
        <v>47</v>
      </c>
    </row>
    <row r="152" spans="1:7" x14ac:dyDescent="0.2">
      <c r="A152" s="11">
        <v>136</v>
      </c>
      <c r="B152" s="5" t="s">
        <v>863</v>
      </c>
      <c r="C152" s="11">
        <v>34604734054</v>
      </c>
      <c r="D152" s="5" t="s">
        <v>864</v>
      </c>
      <c r="E152" s="8">
        <v>70</v>
      </c>
      <c r="F152" s="5" t="s">
        <v>9</v>
      </c>
      <c r="G152" s="2" t="s">
        <v>241</v>
      </c>
    </row>
    <row r="153" spans="1:7" x14ac:dyDescent="0.2">
      <c r="A153" s="11">
        <v>137</v>
      </c>
      <c r="B153" s="5" t="s">
        <v>273</v>
      </c>
      <c r="C153" s="11">
        <v>52641439848</v>
      </c>
      <c r="D153" s="5" t="s">
        <v>274</v>
      </c>
      <c r="E153" s="8">
        <f>79+27.38+145.25+992.14+52.29</f>
        <v>1296.06</v>
      </c>
      <c r="F153" s="5" t="s">
        <v>9</v>
      </c>
      <c r="G153" s="2" t="s">
        <v>21</v>
      </c>
    </row>
    <row r="154" spans="1:7" x14ac:dyDescent="0.2">
      <c r="A154" s="11">
        <v>138</v>
      </c>
      <c r="B154" s="5" t="s">
        <v>1108</v>
      </c>
      <c r="C154" s="12" t="s">
        <v>1109</v>
      </c>
      <c r="D154" s="5" t="s">
        <v>1110</v>
      </c>
      <c r="E154" s="8">
        <f>4000+1000+2000+4249.96+3000</f>
        <v>14249.96</v>
      </c>
      <c r="F154" s="5" t="s">
        <v>9</v>
      </c>
      <c r="G154" s="2" t="s">
        <v>255</v>
      </c>
    </row>
    <row r="155" spans="1:7" x14ac:dyDescent="0.2">
      <c r="A155" s="11">
        <v>139</v>
      </c>
      <c r="B155" s="21" t="s">
        <v>143</v>
      </c>
      <c r="C155" s="22">
        <v>34421776805</v>
      </c>
      <c r="D155" s="21" t="s">
        <v>175</v>
      </c>
      <c r="E155" s="8">
        <f>82.5+958.21+1080.5</f>
        <v>2121.21</v>
      </c>
      <c r="F155" s="5" t="s">
        <v>9</v>
      </c>
      <c r="G155" s="2" t="s">
        <v>144</v>
      </c>
    </row>
    <row r="156" spans="1:7" x14ac:dyDescent="0.2">
      <c r="A156" s="11">
        <v>140</v>
      </c>
      <c r="B156" s="5" t="s">
        <v>122</v>
      </c>
      <c r="C156" s="11">
        <v>64862538713</v>
      </c>
      <c r="D156" s="5" t="s">
        <v>160</v>
      </c>
      <c r="E156" s="8">
        <f>147.5+162.5</f>
        <v>310</v>
      </c>
      <c r="F156" s="5" t="s">
        <v>9</v>
      </c>
      <c r="G156" s="2" t="s">
        <v>21</v>
      </c>
    </row>
    <row r="157" spans="1:7" x14ac:dyDescent="0.2">
      <c r="A157" s="11">
        <v>141</v>
      </c>
      <c r="B157" s="5" t="s">
        <v>120</v>
      </c>
      <c r="C157" s="11" t="s">
        <v>159</v>
      </c>
      <c r="D157" s="5" t="s">
        <v>121</v>
      </c>
      <c r="E157" s="8">
        <f>1645.96+30872.96+10000+10667.5</f>
        <v>53186.42</v>
      </c>
      <c r="F157" s="5" t="s">
        <v>9</v>
      </c>
      <c r="G157" s="2" t="s">
        <v>21</v>
      </c>
    </row>
    <row r="158" spans="1:7" x14ac:dyDescent="0.2">
      <c r="A158" s="11">
        <v>142</v>
      </c>
      <c r="B158" s="5" t="s">
        <v>687</v>
      </c>
      <c r="C158" s="11">
        <v>11711059133</v>
      </c>
      <c r="D158" s="5" t="s">
        <v>688</v>
      </c>
      <c r="E158" s="8">
        <f>487.5+276.25+162.5+178.75</f>
        <v>1105</v>
      </c>
      <c r="F158" s="5" t="s">
        <v>9</v>
      </c>
      <c r="G158" s="2" t="s">
        <v>21</v>
      </c>
    </row>
    <row r="159" spans="1:7" ht="12.75" thickBot="1" x14ac:dyDescent="0.25">
      <c r="A159" s="11">
        <v>143</v>
      </c>
      <c r="B159" s="19" t="s">
        <v>1662</v>
      </c>
      <c r="C159" s="39">
        <v>81424995264</v>
      </c>
      <c r="D159" s="19" t="s">
        <v>1663</v>
      </c>
      <c r="E159" s="15">
        <v>797.5</v>
      </c>
      <c r="F159" s="19" t="s">
        <v>9</v>
      </c>
      <c r="G159" s="26" t="s">
        <v>211</v>
      </c>
    </row>
    <row r="160" spans="1:7" x14ac:dyDescent="0.2">
      <c r="A160" s="74">
        <v>144</v>
      </c>
      <c r="B160" s="76" t="s">
        <v>344</v>
      </c>
      <c r="C160" s="74">
        <v>50467974870</v>
      </c>
      <c r="D160" s="76" t="s">
        <v>345</v>
      </c>
      <c r="E160" s="67">
        <v>99.75</v>
      </c>
      <c r="F160" s="76" t="s">
        <v>9</v>
      </c>
      <c r="G160" s="28" t="s">
        <v>21</v>
      </c>
    </row>
    <row r="161" spans="1:7" ht="12.75" thickBot="1" x14ac:dyDescent="0.25">
      <c r="A161" s="75"/>
      <c r="B161" s="77"/>
      <c r="C161" s="75"/>
      <c r="D161" s="77"/>
      <c r="E161" s="18">
        <v>818.13</v>
      </c>
      <c r="F161" s="77"/>
      <c r="G161" s="29" t="s">
        <v>101</v>
      </c>
    </row>
    <row r="162" spans="1:7" x14ac:dyDescent="0.2">
      <c r="A162" s="34">
        <v>145</v>
      </c>
      <c r="B162" s="5" t="s">
        <v>332</v>
      </c>
      <c r="C162" s="11">
        <v>92839607312</v>
      </c>
      <c r="D162" s="5" t="s">
        <v>333</v>
      </c>
      <c r="E162" s="20">
        <f>112.25+125.56+1409.13</f>
        <v>1646.94</v>
      </c>
      <c r="F162" s="36" t="s">
        <v>9</v>
      </c>
      <c r="G162" s="31" t="s">
        <v>21</v>
      </c>
    </row>
    <row r="163" spans="1:7" x14ac:dyDescent="0.2">
      <c r="A163" s="11">
        <v>146</v>
      </c>
      <c r="B163" s="5" t="s">
        <v>734</v>
      </c>
      <c r="C163" s="11">
        <v>66734484850</v>
      </c>
      <c r="D163" s="5" t="s">
        <v>735</v>
      </c>
      <c r="E163" s="8">
        <f>1342.8</f>
        <v>1342.8</v>
      </c>
      <c r="F163" s="5" t="s">
        <v>9</v>
      </c>
      <c r="G163" s="2" t="s">
        <v>453</v>
      </c>
    </row>
    <row r="164" spans="1:7" x14ac:dyDescent="0.2">
      <c r="A164" s="11">
        <v>147</v>
      </c>
      <c r="B164" s="5" t="s">
        <v>430</v>
      </c>
      <c r="C164" s="11">
        <v>77170927797</v>
      </c>
      <c r="D164" s="5" t="s">
        <v>431</v>
      </c>
      <c r="E164" s="15">
        <f>41.6</f>
        <v>41.6</v>
      </c>
      <c r="F164" s="19" t="s">
        <v>9</v>
      </c>
      <c r="G164" s="2" t="s">
        <v>21</v>
      </c>
    </row>
    <row r="165" spans="1:7" x14ac:dyDescent="0.2">
      <c r="A165" s="11">
        <v>148</v>
      </c>
      <c r="B165" s="5" t="s">
        <v>555</v>
      </c>
      <c r="C165" s="11">
        <v>99080771351</v>
      </c>
      <c r="D165" s="5" t="s">
        <v>1225</v>
      </c>
      <c r="E165" s="15">
        <f>1000+2000</f>
        <v>3000</v>
      </c>
      <c r="F165" s="19" t="s">
        <v>9</v>
      </c>
      <c r="G165" s="2" t="s">
        <v>21</v>
      </c>
    </row>
    <row r="166" spans="1:7" x14ac:dyDescent="0.2">
      <c r="A166" s="11">
        <v>149</v>
      </c>
      <c r="B166" s="5" t="s">
        <v>714</v>
      </c>
      <c r="C166" s="11">
        <v>31190261041</v>
      </c>
      <c r="D166" s="5" t="s">
        <v>715</v>
      </c>
      <c r="E166" s="15">
        <f>189.6+120</f>
        <v>309.60000000000002</v>
      </c>
      <c r="F166" s="19" t="s">
        <v>9</v>
      </c>
      <c r="G166" s="2" t="s">
        <v>21</v>
      </c>
    </row>
    <row r="167" spans="1:7" x14ac:dyDescent="0.2">
      <c r="A167" s="11">
        <v>150</v>
      </c>
      <c r="B167" s="5" t="s">
        <v>180</v>
      </c>
      <c r="C167" s="11">
        <v>48491501393</v>
      </c>
      <c r="D167" s="5" t="s">
        <v>181</v>
      </c>
      <c r="E167" s="15">
        <f>2000</f>
        <v>2000</v>
      </c>
      <c r="F167" s="19" t="s">
        <v>9</v>
      </c>
      <c r="G167" s="2" t="s">
        <v>21</v>
      </c>
    </row>
    <row r="168" spans="1:7" x14ac:dyDescent="0.2">
      <c r="A168" s="11">
        <v>151</v>
      </c>
      <c r="B168" s="5" t="s">
        <v>319</v>
      </c>
      <c r="C168" s="11" t="s">
        <v>320</v>
      </c>
      <c r="D168" s="5" t="s">
        <v>321</v>
      </c>
      <c r="E168" s="15">
        <f>2386.48+2000+5000+125.6+312.83</f>
        <v>9824.91</v>
      </c>
      <c r="F168" s="19" t="s">
        <v>9</v>
      </c>
      <c r="G168" s="2" t="s">
        <v>21</v>
      </c>
    </row>
    <row r="169" spans="1:7" x14ac:dyDescent="0.2">
      <c r="A169" s="11">
        <v>152</v>
      </c>
      <c r="B169" s="19" t="s">
        <v>744</v>
      </c>
      <c r="C169" s="39">
        <v>35798309099</v>
      </c>
      <c r="D169" s="19" t="s">
        <v>745</v>
      </c>
      <c r="E169" s="15">
        <f>340.43</f>
        <v>340.43</v>
      </c>
      <c r="F169" s="19" t="s">
        <v>9</v>
      </c>
      <c r="G169" s="2" t="s">
        <v>21</v>
      </c>
    </row>
    <row r="170" spans="1:7" x14ac:dyDescent="0.2">
      <c r="A170" s="11">
        <v>153</v>
      </c>
      <c r="B170" s="5" t="s">
        <v>859</v>
      </c>
      <c r="C170" s="11">
        <v>80523849112</v>
      </c>
      <c r="D170" s="5" t="s">
        <v>860</v>
      </c>
      <c r="E170" s="15">
        <f>528.66+154.88</f>
        <v>683.54</v>
      </c>
      <c r="F170" s="19" t="s">
        <v>9</v>
      </c>
      <c r="G170" s="2" t="s">
        <v>21</v>
      </c>
    </row>
    <row r="171" spans="1:7" x14ac:dyDescent="0.2">
      <c r="A171" s="11">
        <v>154</v>
      </c>
      <c r="B171" s="5" t="s">
        <v>452</v>
      </c>
      <c r="C171" s="12" t="s">
        <v>455</v>
      </c>
      <c r="D171" s="5" t="s">
        <v>454</v>
      </c>
      <c r="E171" s="8">
        <f>1560+325</f>
        <v>1885</v>
      </c>
      <c r="F171" s="5" t="s">
        <v>9</v>
      </c>
      <c r="G171" s="2" t="s">
        <v>453</v>
      </c>
    </row>
    <row r="172" spans="1:7" x14ac:dyDescent="0.2">
      <c r="A172" s="11">
        <v>155</v>
      </c>
      <c r="B172" s="21" t="s">
        <v>262</v>
      </c>
      <c r="C172" s="22">
        <v>66181750806</v>
      </c>
      <c r="D172" s="21" t="s">
        <v>185</v>
      </c>
      <c r="E172" s="8">
        <f>422</f>
        <v>422</v>
      </c>
      <c r="F172" s="5" t="s">
        <v>9</v>
      </c>
      <c r="G172" s="2" t="s">
        <v>263</v>
      </c>
    </row>
    <row r="173" spans="1:7" x14ac:dyDescent="0.2">
      <c r="A173" s="11">
        <v>156</v>
      </c>
      <c r="B173" s="5" t="s">
        <v>786</v>
      </c>
      <c r="C173" s="11">
        <v>84082732674</v>
      </c>
      <c r="D173" s="5" t="s">
        <v>787</v>
      </c>
      <c r="E173" s="8">
        <v>865.13</v>
      </c>
      <c r="F173" s="5" t="s">
        <v>9</v>
      </c>
      <c r="G173" s="2" t="s">
        <v>318</v>
      </c>
    </row>
    <row r="174" spans="1:7" x14ac:dyDescent="0.2">
      <c r="A174" s="11">
        <v>157</v>
      </c>
      <c r="B174" s="5" t="s">
        <v>1524</v>
      </c>
      <c r="C174" s="12">
        <v>61350403800</v>
      </c>
      <c r="D174" s="5" t="s">
        <v>1525</v>
      </c>
      <c r="E174" s="8">
        <v>24.5</v>
      </c>
      <c r="F174" s="5" t="s">
        <v>9</v>
      </c>
      <c r="G174" s="2" t="s">
        <v>21</v>
      </c>
    </row>
    <row r="175" spans="1:7" x14ac:dyDescent="0.2">
      <c r="A175" s="11">
        <v>158</v>
      </c>
      <c r="B175" s="5" t="s">
        <v>1550</v>
      </c>
      <c r="C175" s="11">
        <v>78853440387</v>
      </c>
      <c r="D175" s="5" t="s">
        <v>573</v>
      </c>
      <c r="E175" s="8">
        <f>241.35</f>
        <v>241.35</v>
      </c>
      <c r="F175" s="5" t="s">
        <v>9</v>
      </c>
      <c r="G175" s="2" t="s">
        <v>21</v>
      </c>
    </row>
    <row r="176" spans="1:7" x14ac:dyDescent="0.2">
      <c r="A176" s="11">
        <v>159</v>
      </c>
      <c r="B176" s="5" t="s">
        <v>1298</v>
      </c>
      <c r="C176" s="11">
        <v>29743547503</v>
      </c>
      <c r="D176" s="5" t="s">
        <v>1299</v>
      </c>
      <c r="E176" s="8">
        <v>3314</v>
      </c>
      <c r="F176" s="5" t="s">
        <v>9</v>
      </c>
      <c r="G176" s="2" t="s">
        <v>1015</v>
      </c>
    </row>
    <row r="177" spans="1:7" x14ac:dyDescent="0.2">
      <c r="A177" s="11">
        <v>160</v>
      </c>
      <c r="B177" s="5" t="s">
        <v>596</v>
      </c>
      <c r="C177" s="11">
        <v>75798666307</v>
      </c>
      <c r="D177" s="5" t="s">
        <v>1540</v>
      </c>
      <c r="E177" s="8">
        <v>944.69</v>
      </c>
      <c r="F177" s="5" t="s">
        <v>9</v>
      </c>
      <c r="G177" s="2" t="s">
        <v>394</v>
      </c>
    </row>
    <row r="178" spans="1:7" x14ac:dyDescent="0.2">
      <c r="A178" s="11">
        <v>161</v>
      </c>
      <c r="B178" s="5" t="s">
        <v>1711</v>
      </c>
      <c r="C178" s="11">
        <v>78087084623</v>
      </c>
      <c r="D178" s="5" t="s">
        <v>1712</v>
      </c>
      <c r="E178" s="8">
        <f>295.05+522.73</f>
        <v>817.78</v>
      </c>
      <c r="F178" s="5" t="s">
        <v>9</v>
      </c>
      <c r="G178" s="2" t="s">
        <v>394</v>
      </c>
    </row>
    <row r="179" spans="1:7" x14ac:dyDescent="0.2">
      <c r="A179" s="11">
        <v>162</v>
      </c>
      <c r="B179" s="5" t="s">
        <v>1713</v>
      </c>
      <c r="C179" s="11" t="s">
        <v>1714</v>
      </c>
      <c r="D179" s="5" t="s">
        <v>1715</v>
      </c>
      <c r="E179" s="8">
        <v>542</v>
      </c>
      <c r="F179" s="5" t="s">
        <v>9</v>
      </c>
      <c r="G179" s="2" t="s">
        <v>21</v>
      </c>
    </row>
    <row r="180" spans="1:7" x14ac:dyDescent="0.2">
      <c r="A180" s="11">
        <v>163</v>
      </c>
      <c r="B180" s="5" t="s">
        <v>1716</v>
      </c>
      <c r="C180" s="11">
        <v>75628884500</v>
      </c>
      <c r="D180" s="5" t="s">
        <v>1717</v>
      </c>
      <c r="E180" s="8">
        <v>516.42999999999995</v>
      </c>
      <c r="F180" s="5" t="s">
        <v>9</v>
      </c>
      <c r="G180" s="2" t="s">
        <v>21</v>
      </c>
    </row>
    <row r="181" spans="1:7" x14ac:dyDescent="0.2">
      <c r="A181" s="11">
        <v>164</v>
      </c>
      <c r="B181" s="5" t="s">
        <v>1718</v>
      </c>
      <c r="C181" s="12">
        <v>77553867416</v>
      </c>
      <c r="D181" s="5" t="s">
        <v>1719</v>
      </c>
      <c r="E181" s="8">
        <f>81.25*2</f>
        <v>162.5</v>
      </c>
      <c r="F181" s="5" t="s">
        <v>9</v>
      </c>
      <c r="G181" s="2" t="s">
        <v>90</v>
      </c>
    </row>
    <row r="182" spans="1:7" x14ac:dyDescent="0.2">
      <c r="A182" s="11">
        <v>165</v>
      </c>
      <c r="B182" s="5" t="s">
        <v>1720</v>
      </c>
      <c r="C182" s="12">
        <v>81118596940</v>
      </c>
      <c r="D182" s="5" t="s">
        <v>1721</v>
      </c>
      <c r="E182" s="8">
        <v>37.200000000000003</v>
      </c>
      <c r="F182" s="5" t="s">
        <v>9</v>
      </c>
      <c r="G182" s="2" t="s">
        <v>21</v>
      </c>
    </row>
    <row r="183" spans="1:7" x14ac:dyDescent="0.2">
      <c r="A183" s="11">
        <v>166</v>
      </c>
      <c r="B183" s="5" t="s">
        <v>1722</v>
      </c>
      <c r="C183" s="98" t="s">
        <v>1396</v>
      </c>
      <c r="D183" s="5" t="s">
        <v>1723</v>
      </c>
      <c r="E183" s="8">
        <v>709</v>
      </c>
      <c r="F183" s="5" t="s">
        <v>9</v>
      </c>
      <c r="G183" s="2" t="s">
        <v>21</v>
      </c>
    </row>
    <row r="184" spans="1:7" x14ac:dyDescent="0.2">
      <c r="A184" s="11">
        <v>167</v>
      </c>
      <c r="B184" s="5" t="s">
        <v>947</v>
      </c>
      <c r="C184" s="12">
        <v>88137585457</v>
      </c>
      <c r="D184" s="5" t="s">
        <v>948</v>
      </c>
      <c r="E184" s="8">
        <f>681.8</f>
        <v>681.8</v>
      </c>
      <c r="F184" s="5" t="s">
        <v>9</v>
      </c>
      <c r="G184" s="2" t="s">
        <v>21</v>
      </c>
    </row>
    <row r="185" spans="1:7" x14ac:dyDescent="0.2">
      <c r="A185" s="11">
        <v>168</v>
      </c>
      <c r="B185" s="5" t="s">
        <v>597</v>
      </c>
      <c r="C185" s="11">
        <v>78131970792</v>
      </c>
      <c r="D185" s="5" t="s">
        <v>598</v>
      </c>
      <c r="E185" s="8">
        <f>512.5+100+375+625</f>
        <v>1612.5</v>
      </c>
      <c r="F185" s="5" t="s">
        <v>9</v>
      </c>
      <c r="G185" s="2" t="s">
        <v>178</v>
      </c>
    </row>
    <row r="186" spans="1:7" x14ac:dyDescent="0.2">
      <c r="A186" s="11">
        <v>169</v>
      </c>
      <c r="B186" s="5" t="s">
        <v>943</v>
      </c>
      <c r="C186" s="11">
        <v>88745489373</v>
      </c>
      <c r="D186" s="5" t="s">
        <v>944</v>
      </c>
      <c r="E186" s="8">
        <f>2000</f>
        <v>2000</v>
      </c>
      <c r="F186" s="5" t="s">
        <v>9</v>
      </c>
      <c r="G186" s="2" t="s">
        <v>21</v>
      </c>
    </row>
    <row r="187" spans="1:7" x14ac:dyDescent="0.2">
      <c r="A187" s="11">
        <v>170</v>
      </c>
      <c r="B187" s="19" t="s">
        <v>724</v>
      </c>
      <c r="C187" s="33">
        <v>33911499305</v>
      </c>
      <c r="D187" s="19" t="s">
        <v>725</v>
      </c>
      <c r="E187" s="15">
        <f>2000+6685</f>
        <v>8685</v>
      </c>
      <c r="F187" s="19" t="s">
        <v>9</v>
      </c>
      <c r="G187" s="26" t="s">
        <v>39</v>
      </c>
    </row>
    <row r="188" spans="1:7" x14ac:dyDescent="0.2">
      <c r="A188" s="11">
        <v>171</v>
      </c>
      <c r="B188" s="40" t="s">
        <v>1565</v>
      </c>
      <c r="C188" s="41">
        <v>41025754642</v>
      </c>
      <c r="D188" s="40" t="s">
        <v>1566</v>
      </c>
      <c r="E188" s="8">
        <f>437.5+1250+437.5+1250</f>
        <v>3375</v>
      </c>
      <c r="F188" s="40" t="s">
        <v>9</v>
      </c>
      <c r="G188" s="2" t="s">
        <v>64</v>
      </c>
    </row>
    <row r="189" spans="1:7" x14ac:dyDescent="0.2">
      <c r="A189" s="11">
        <v>172</v>
      </c>
      <c r="B189" s="19" t="s">
        <v>1280</v>
      </c>
      <c r="C189" s="33">
        <v>94167807411</v>
      </c>
      <c r="D189" s="19" t="s">
        <v>1281</v>
      </c>
      <c r="E189" s="8">
        <f>34.43</f>
        <v>34.43</v>
      </c>
      <c r="F189" s="5" t="s">
        <v>9</v>
      </c>
      <c r="G189" s="2" t="s">
        <v>21</v>
      </c>
    </row>
    <row r="190" spans="1:7" x14ac:dyDescent="0.2">
      <c r="A190" s="11">
        <v>173</v>
      </c>
      <c r="B190" s="5" t="s">
        <v>896</v>
      </c>
      <c r="C190" s="11">
        <v>76025987753</v>
      </c>
      <c r="D190" s="5" t="s">
        <v>897</v>
      </c>
      <c r="E190" s="8">
        <v>500</v>
      </c>
      <c r="F190" s="5" t="s">
        <v>9</v>
      </c>
      <c r="G190" s="2" t="s">
        <v>21</v>
      </c>
    </row>
    <row r="191" spans="1:7" x14ac:dyDescent="0.2">
      <c r="A191" s="11">
        <v>174</v>
      </c>
      <c r="B191" s="5" t="s">
        <v>1724</v>
      </c>
      <c r="C191" s="11">
        <v>20537224592</v>
      </c>
      <c r="D191" s="5" t="s">
        <v>1725</v>
      </c>
      <c r="E191" s="8">
        <f>224.74+920.78+2014.24+403.58</f>
        <v>3563.34</v>
      </c>
      <c r="F191" s="5" t="s">
        <v>9</v>
      </c>
      <c r="G191" s="2" t="s">
        <v>21</v>
      </c>
    </row>
    <row r="192" spans="1:7" x14ac:dyDescent="0.2">
      <c r="A192" s="11">
        <v>175</v>
      </c>
      <c r="B192" s="5" t="s">
        <v>248</v>
      </c>
      <c r="C192" s="11">
        <v>22740118957</v>
      </c>
      <c r="D192" s="5" t="s">
        <v>249</v>
      </c>
      <c r="E192" s="8">
        <f>1744+3973</f>
        <v>5717</v>
      </c>
      <c r="F192" s="5" t="s">
        <v>9</v>
      </c>
      <c r="G192" s="2" t="s">
        <v>21</v>
      </c>
    </row>
    <row r="193" spans="1:7" ht="12.75" customHeight="1" x14ac:dyDescent="0.2">
      <c r="A193" s="11">
        <v>176</v>
      </c>
      <c r="B193" s="5" t="s">
        <v>417</v>
      </c>
      <c r="C193" s="11" t="s">
        <v>418</v>
      </c>
      <c r="D193" s="5" t="s">
        <v>419</v>
      </c>
      <c r="E193" s="15">
        <f>4780.27</f>
        <v>4780.2700000000004</v>
      </c>
      <c r="F193" s="19" t="s">
        <v>9</v>
      </c>
      <c r="G193" s="26" t="s">
        <v>21</v>
      </c>
    </row>
    <row r="194" spans="1:7" ht="12.75" customHeight="1" x14ac:dyDescent="0.2">
      <c r="A194" s="11">
        <v>177</v>
      </c>
      <c r="B194" s="19" t="s">
        <v>617</v>
      </c>
      <c r="C194" s="39">
        <v>13278612358</v>
      </c>
      <c r="D194" s="19" t="s">
        <v>618</v>
      </c>
      <c r="E194" s="15">
        <f>787.5+162.5+425+93.75+225+712.5</f>
        <v>2406.25</v>
      </c>
      <c r="F194" s="19" t="s">
        <v>9</v>
      </c>
      <c r="G194" s="26" t="s">
        <v>178</v>
      </c>
    </row>
    <row r="195" spans="1:7" ht="12.75" customHeight="1" x14ac:dyDescent="0.2">
      <c r="A195" s="11">
        <v>178</v>
      </c>
      <c r="B195" s="5" t="s">
        <v>350</v>
      </c>
      <c r="C195" s="11">
        <v>94505281348</v>
      </c>
      <c r="D195" s="5" t="s">
        <v>352</v>
      </c>
      <c r="E195" s="8">
        <f>2*165.23</f>
        <v>330.46</v>
      </c>
      <c r="F195" s="5" t="s">
        <v>9</v>
      </c>
      <c r="G195" s="2" t="s">
        <v>211</v>
      </c>
    </row>
    <row r="196" spans="1:7" ht="12.75" customHeight="1" x14ac:dyDescent="0.2">
      <c r="A196" s="11">
        <v>179</v>
      </c>
      <c r="B196" s="5" t="s">
        <v>237</v>
      </c>
      <c r="C196" s="11">
        <v>15907062900</v>
      </c>
      <c r="D196" s="5" t="s">
        <v>239</v>
      </c>
      <c r="E196" s="8">
        <f>9750.98</f>
        <v>9750.98</v>
      </c>
      <c r="F196" s="5" t="s">
        <v>9</v>
      </c>
      <c r="G196" s="2" t="s">
        <v>238</v>
      </c>
    </row>
    <row r="197" spans="1:7" x14ac:dyDescent="0.2">
      <c r="A197" s="11">
        <v>180</v>
      </c>
      <c r="B197" s="5" t="s">
        <v>15</v>
      </c>
      <c r="C197" s="11" t="s">
        <v>15</v>
      </c>
      <c r="D197" s="5" t="s">
        <v>15</v>
      </c>
      <c r="E197" s="8">
        <v>600</v>
      </c>
      <c r="F197" s="5" t="s">
        <v>9</v>
      </c>
      <c r="G197" s="2" t="s">
        <v>695</v>
      </c>
    </row>
    <row r="198" spans="1:7" x14ac:dyDescent="0.2">
      <c r="A198" s="11">
        <v>181</v>
      </c>
      <c r="B198" s="5" t="s">
        <v>1290</v>
      </c>
      <c r="C198" s="11" t="s">
        <v>1151</v>
      </c>
      <c r="D198" s="5" t="s">
        <v>1152</v>
      </c>
      <c r="E198" s="8">
        <f>5000+5000</f>
        <v>10000</v>
      </c>
      <c r="F198" s="5" t="s">
        <v>9</v>
      </c>
      <c r="G198" s="2" t="s">
        <v>21</v>
      </c>
    </row>
    <row r="199" spans="1:7" x14ac:dyDescent="0.2">
      <c r="A199" s="11">
        <v>182</v>
      </c>
      <c r="B199" s="5" t="s">
        <v>997</v>
      </c>
      <c r="C199" s="11">
        <v>21748984734</v>
      </c>
      <c r="D199" s="5" t="s">
        <v>998</v>
      </c>
      <c r="E199" s="8">
        <v>1287.5</v>
      </c>
      <c r="F199" s="5" t="s">
        <v>9</v>
      </c>
      <c r="G199" s="2" t="s">
        <v>999</v>
      </c>
    </row>
    <row r="200" spans="1:7" x14ac:dyDescent="0.2">
      <c r="A200" s="11">
        <v>183</v>
      </c>
      <c r="B200" s="5" t="s">
        <v>287</v>
      </c>
      <c r="C200" s="11">
        <v>55614719992</v>
      </c>
      <c r="D200" s="5" t="s">
        <v>288</v>
      </c>
      <c r="E200" s="8">
        <f>845.28+146.65+230.45+349.45</f>
        <v>1571.83</v>
      </c>
      <c r="F200" s="5" t="s">
        <v>9</v>
      </c>
      <c r="G200" s="2" t="s">
        <v>21</v>
      </c>
    </row>
    <row r="201" spans="1:7" x14ac:dyDescent="0.2">
      <c r="A201" s="11">
        <v>184</v>
      </c>
      <c r="B201" s="5" t="s">
        <v>809</v>
      </c>
      <c r="C201" s="11">
        <v>14273924910</v>
      </c>
      <c r="D201" s="5" t="s">
        <v>810</v>
      </c>
      <c r="E201" s="8">
        <v>483.75</v>
      </c>
      <c r="F201" s="5" t="s">
        <v>9</v>
      </c>
      <c r="G201" s="2" t="s">
        <v>132</v>
      </c>
    </row>
    <row r="202" spans="1:7" x14ac:dyDescent="0.2">
      <c r="A202" s="11">
        <v>185</v>
      </c>
      <c r="B202" s="5" t="s">
        <v>311</v>
      </c>
      <c r="C202" s="11">
        <v>48841983787</v>
      </c>
      <c r="D202" s="5" t="s">
        <v>312</v>
      </c>
      <c r="E202" s="8">
        <f>430.75+371.25+137.5+275+90</f>
        <v>1304.5</v>
      </c>
      <c r="F202" s="5" t="s">
        <v>9</v>
      </c>
      <c r="G202" s="2" t="s">
        <v>21</v>
      </c>
    </row>
    <row r="203" spans="1:7" x14ac:dyDescent="0.2">
      <c r="A203" s="11">
        <v>186</v>
      </c>
      <c r="B203" s="5" t="s">
        <v>381</v>
      </c>
      <c r="C203" s="11">
        <v>100299833</v>
      </c>
      <c r="D203" s="5" t="s">
        <v>392</v>
      </c>
      <c r="E203" s="8">
        <f>5320</f>
        <v>5320</v>
      </c>
      <c r="F203" s="5" t="s">
        <v>9</v>
      </c>
      <c r="G203" s="2" t="s">
        <v>21</v>
      </c>
    </row>
    <row r="204" spans="1:7" x14ac:dyDescent="0.2">
      <c r="A204" s="11">
        <v>187</v>
      </c>
      <c r="B204" s="5" t="s">
        <v>275</v>
      </c>
      <c r="C204" s="11">
        <v>76080865307</v>
      </c>
      <c r="D204" s="5" t="s">
        <v>276</v>
      </c>
      <c r="E204" s="8">
        <v>42.78</v>
      </c>
      <c r="F204" s="5" t="s">
        <v>9</v>
      </c>
      <c r="G204" s="2" t="s">
        <v>211</v>
      </c>
    </row>
    <row r="205" spans="1:7" x14ac:dyDescent="0.2">
      <c r="A205" s="11">
        <v>188</v>
      </c>
      <c r="B205" s="5" t="s">
        <v>243</v>
      </c>
      <c r="C205" s="12" t="s">
        <v>245</v>
      </c>
      <c r="D205" s="5" t="s">
        <v>244</v>
      </c>
      <c r="E205" s="8">
        <f>120+74.29+209.29</f>
        <v>403.58000000000004</v>
      </c>
      <c r="F205" s="5" t="s">
        <v>9</v>
      </c>
      <c r="G205" s="2" t="s">
        <v>241</v>
      </c>
    </row>
    <row r="206" spans="1:7" x14ac:dyDescent="0.2">
      <c r="A206" s="11">
        <v>189</v>
      </c>
      <c r="B206" s="5" t="s">
        <v>622</v>
      </c>
      <c r="C206" s="11">
        <v>42525184727</v>
      </c>
      <c r="D206" s="5" t="s">
        <v>176</v>
      </c>
      <c r="E206" s="8">
        <f>203.4+264.6</f>
        <v>468</v>
      </c>
      <c r="F206" s="5" t="s">
        <v>9</v>
      </c>
      <c r="G206" s="2" t="s">
        <v>130</v>
      </c>
    </row>
    <row r="207" spans="1:7" x14ac:dyDescent="0.2">
      <c r="A207" s="11">
        <v>190</v>
      </c>
      <c r="B207" s="30" t="s">
        <v>298</v>
      </c>
      <c r="C207" s="34">
        <v>85611744662</v>
      </c>
      <c r="D207" s="30" t="s">
        <v>299</v>
      </c>
      <c r="E207" s="17">
        <f>1556.1+428.45</f>
        <v>1984.55</v>
      </c>
      <c r="F207" s="30" t="s">
        <v>9</v>
      </c>
      <c r="G207" s="31" t="s">
        <v>21</v>
      </c>
    </row>
    <row r="208" spans="1:7" x14ac:dyDescent="0.2">
      <c r="A208" s="11">
        <v>191</v>
      </c>
      <c r="B208" s="5" t="s">
        <v>125</v>
      </c>
      <c r="C208" s="11">
        <v>58353015102</v>
      </c>
      <c r="D208" s="5" t="s">
        <v>162</v>
      </c>
      <c r="E208" s="8">
        <f>136.5</f>
        <v>136.5</v>
      </c>
      <c r="F208" s="5" t="s">
        <v>9</v>
      </c>
      <c r="G208" s="2" t="s">
        <v>101</v>
      </c>
    </row>
    <row r="209" spans="1:7" ht="12.75" thickBot="1" x14ac:dyDescent="0.25">
      <c r="A209" s="11">
        <v>192</v>
      </c>
      <c r="B209" s="19" t="s">
        <v>342</v>
      </c>
      <c r="C209" s="33">
        <v>54482179263</v>
      </c>
      <c r="D209" s="19" t="s">
        <v>343</v>
      </c>
      <c r="E209" s="15">
        <f>44.96+12.28+85.56</f>
        <v>142.80000000000001</v>
      </c>
      <c r="F209" s="19" t="s">
        <v>9</v>
      </c>
      <c r="G209" s="26" t="s">
        <v>21</v>
      </c>
    </row>
    <row r="210" spans="1:7" x14ac:dyDescent="0.2">
      <c r="A210" s="74">
        <v>193</v>
      </c>
      <c r="B210" s="76" t="s">
        <v>499</v>
      </c>
      <c r="C210" s="74">
        <v>89984971143</v>
      </c>
      <c r="D210" s="76" t="s">
        <v>500</v>
      </c>
      <c r="E210" s="16">
        <f>188.75+28.15</f>
        <v>216.9</v>
      </c>
      <c r="F210" s="76" t="s">
        <v>9</v>
      </c>
      <c r="G210" s="28" t="s">
        <v>21</v>
      </c>
    </row>
    <row r="211" spans="1:7" ht="12.75" thickBot="1" x14ac:dyDescent="0.25">
      <c r="A211" s="75"/>
      <c r="B211" s="77"/>
      <c r="C211" s="75"/>
      <c r="D211" s="77"/>
      <c r="E211" s="18">
        <v>752.48</v>
      </c>
      <c r="F211" s="77"/>
      <c r="G211" s="29" t="s">
        <v>101</v>
      </c>
    </row>
    <row r="212" spans="1:7" x14ac:dyDescent="0.2">
      <c r="A212" s="34">
        <v>194</v>
      </c>
      <c r="B212" s="30" t="s">
        <v>361</v>
      </c>
      <c r="C212" s="34">
        <v>32371574171</v>
      </c>
      <c r="D212" s="30" t="s">
        <v>362</v>
      </c>
      <c r="E212" s="17">
        <f>250+500+287.5</f>
        <v>1037.5</v>
      </c>
      <c r="F212" s="30" t="s">
        <v>9</v>
      </c>
      <c r="G212" s="31" t="s">
        <v>178</v>
      </c>
    </row>
    <row r="213" spans="1:7" x14ac:dyDescent="0.2">
      <c r="A213" s="11">
        <v>195</v>
      </c>
      <c r="B213" s="19" t="s">
        <v>560</v>
      </c>
      <c r="C213" s="33">
        <v>39881074944</v>
      </c>
      <c r="D213" s="19" t="s">
        <v>561</v>
      </c>
      <c r="E213" s="8">
        <f>284.36+539.48</f>
        <v>823.84</v>
      </c>
      <c r="F213" s="5" t="s">
        <v>9</v>
      </c>
      <c r="G213" s="2" t="s">
        <v>21</v>
      </c>
    </row>
    <row r="214" spans="1:7" x14ac:dyDescent="0.2">
      <c r="A214" s="11">
        <v>196</v>
      </c>
      <c r="B214" s="5" t="s">
        <v>313</v>
      </c>
      <c r="C214" s="11">
        <v>12443607100</v>
      </c>
      <c r="D214" s="5" t="s">
        <v>314</v>
      </c>
      <c r="E214" s="8">
        <f>1575+1000+1365.75+4000+1000</f>
        <v>8940.75</v>
      </c>
      <c r="F214" s="5" t="s">
        <v>9</v>
      </c>
      <c r="G214" s="2" t="s">
        <v>21</v>
      </c>
    </row>
    <row r="215" spans="1:7" x14ac:dyDescent="0.2">
      <c r="A215" s="11">
        <v>197</v>
      </c>
      <c r="B215" s="5" t="s">
        <v>346</v>
      </c>
      <c r="C215" s="11">
        <v>79506290597</v>
      </c>
      <c r="D215" s="5" t="s">
        <v>348</v>
      </c>
      <c r="E215" s="8">
        <v>93.75</v>
      </c>
      <c r="F215" s="5" t="s">
        <v>9</v>
      </c>
      <c r="G215" s="2" t="s">
        <v>347</v>
      </c>
    </row>
    <row r="216" spans="1:7" x14ac:dyDescent="0.2">
      <c r="A216" s="11">
        <v>198</v>
      </c>
      <c r="B216" s="5" t="s">
        <v>1472</v>
      </c>
      <c r="C216" s="11">
        <v>74867487620</v>
      </c>
      <c r="D216" s="5" t="s">
        <v>232</v>
      </c>
      <c r="E216" s="8">
        <f>1417.5+1469.85+3443.75+375+6638.25+299.81+1655.37</f>
        <v>15299.529999999999</v>
      </c>
      <c r="F216" s="5" t="s">
        <v>9</v>
      </c>
      <c r="G216" s="2" t="s">
        <v>21</v>
      </c>
    </row>
    <row r="217" spans="1:7" x14ac:dyDescent="0.2">
      <c r="A217" s="11">
        <v>199</v>
      </c>
      <c r="B217" s="5" t="s">
        <v>15</v>
      </c>
      <c r="C217" s="11" t="s">
        <v>15</v>
      </c>
      <c r="D217" s="5" t="s">
        <v>15</v>
      </c>
      <c r="E217" s="8">
        <f>600</f>
        <v>600</v>
      </c>
      <c r="F217" s="5" t="s">
        <v>9</v>
      </c>
      <c r="G217" s="2" t="s">
        <v>16</v>
      </c>
    </row>
    <row r="218" spans="1:7" x14ac:dyDescent="0.2">
      <c r="A218" s="11">
        <v>200</v>
      </c>
      <c r="B218" s="5" t="s">
        <v>15</v>
      </c>
      <c r="C218" s="11" t="s">
        <v>15</v>
      </c>
      <c r="D218" s="5" t="s">
        <v>15</v>
      </c>
      <c r="E218" s="8">
        <v>37100</v>
      </c>
      <c r="F218" s="5" t="s">
        <v>9</v>
      </c>
      <c r="G218" s="2" t="s">
        <v>619</v>
      </c>
    </row>
    <row r="219" spans="1:7" x14ac:dyDescent="0.2">
      <c r="A219" s="11">
        <v>201</v>
      </c>
      <c r="B219" s="5" t="s">
        <v>199</v>
      </c>
      <c r="C219" s="12" t="s">
        <v>201</v>
      </c>
      <c r="D219" s="5" t="s">
        <v>200</v>
      </c>
      <c r="E219" s="8">
        <f>1383.75+153.75+243.75</f>
        <v>1781.25</v>
      </c>
      <c r="F219" s="5" t="s">
        <v>9</v>
      </c>
      <c r="G219" s="2" t="s">
        <v>21</v>
      </c>
    </row>
    <row r="220" spans="1:7" x14ac:dyDescent="0.2">
      <c r="A220" s="11">
        <v>202</v>
      </c>
      <c r="B220" s="5" t="s">
        <v>326</v>
      </c>
      <c r="C220" s="11">
        <v>83157399243</v>
      </c>
      <c r="D220" s="5" t="s">
        <v>327</v>
      </c>
      <c r="E220" s="8">
        <f>150+731.25+60+25+85+710+200</f>
        <v>1961.25</v>
      </c>
      <c r="F220" s="5" t="s">
        <v>9</v>
      </c>
      <c r="G220" s="2" t="s">
        <v>21</v>
      </c>
    </row>
    <row r="221" spans="1:7" x14ac:dyDescent="0.2">
      <c r="A221" s="11">
        <v>203</v>
      </c>
      <c r="B221" s="5" t="s">
        <v>336</v>
      </c>
      <c r="C221" s="11">
        <v>69857578031</v>
      </c>
      <c r="D221" s="5" t="s">
        <v>338</v>
      </c>
      <c r="E221" s="8">
        <f>800.75</f>
        <v>800.75</v>
      </c>
      <c r="F221" s="5" t="s">
        <v>9</v>
      </c>
      <c r="G221" s="2" t="s">
        <v>337</v>
      </c>
    </row>
    <row r="222" spans="1:7" x14ac:dyDescent="0.2">
      <c r="A222" s="11">
        <v>204</v>
      </c>
      <c r="B222" s="5" t="s">
        <v>40</v>
      </c>
      <c r="C222" s="11">
        <v>23308926345</v>
      </c>
      <c r="D222" s="5" t="s">
        <v>53</v>
      </c>
      <c r="E222" s="15">
        <f>207.31*2</f>
        <v>414.62</v>
      </c>
      <c r="F222" s="5" t="s">
        <v>9</v>
      </c>
      <c r="G222" s="2" t="s">
        <v>39</v>
      </c>
    </row>
    <row r="223" spans="1:7" x14ac:dyDescent="0.2">
      <c r="A223" s="11">
        <v>205</v>
      </c>
      <c r="B223" s="5" t="s">
        <v>48</v>
      </c>
      <c r="C223" s="11">
        <v>93039509752</v>
      </c>
      <c r="D223" s="5" t="s">
        <v>54</v>
      </c>
      <c r="E223" s="20">
        <f>524.25*2+1546.23</f>
        <v>2594.73</v>
      </c>
      <c r="F223" s="19" t="s">
        <v>9</v>
      </c>
      <c r="G223" s="2" t="s">
        <v>49</v>
      </c>
    </row>
    <row r="224" spans="1:7" ht="12.75" customHeight="1" x14ac:dyDescent="0.2">
      <c r="A224" s="11">
        <v>206</v>
      </c>
      <c r="B224" s="5" t="s">
        <v>271</v>
      </c>
      <c r="C224" s="11">
        <v>26901839603</v>
      </c>
      <c r="D224" s="5" t="s">
        <v>272</v>
      </c>
      <c r="E224" s="8">
        <f>125.93+328.91+357.38+174.06+472.5+224.33</f>
        <v>1683.11</v>
      </c>
      <c r="F224" s="5" t="s">
        <v>9</v>
      </c>
      <c r="G224" s="2" t="s">
        <v>21</v>
      </c>
    </row>
    <row r="225" spans="1:7" ht="12.75" customHeight="1" x14ac:dyDescent="0.2">
      <c r="A225" s="11">
        <v>207</v>
      </c>
      <c r="B225" s="5" t="s">
        <v>297</v>
      </c>
      <c r="C225" s="11">
        <v>110752628</v>
      </c>
      <c r="D225" s="5" t="s">
        <v>300</v>
      </c>
      <c r="E225" s="8">
        <f>5040+1010.02+8868.66+3948+1237.52</f>
        <v>20104.2</v>
      </c>
      <c r="F225" s="5" t="s">
        <v>9</v>
      </c>
      <c r="G225" s="2" t="s">
        <v>21</v>
      </c>
    </row>
    <row r="226" spans="1:7" ht="12.75" customHeight="1" x14ac:dyDescent="0.2">
      <c r="A226" s="11">
        <v>208</v>
      </c>
      <c r="B226" s="5" t="s">
        <v>131</v>
      </c>
      <c r="C226" s="11">
        <v>79517545745</v>
      </c>
      <c r="D226" s="5" t="s">
        <v>167</v>
      </c>
      <c r="E226" s="8">
        <v>61.34</v>
      </c>
      <c r="F226" s="5" t="s">
        <v>9</v>
      </c>
      <c r="G226" s="2" t="s">
        <v>132</v>
      </c>
    </row>
    <row r="227" spans="1:7" ht="12.75" customHeight="1" x14ac:dyDescent="0.2">
      <c r="A227" s="11">
        <v>209</v>
      </c>
      <c r="B227" s="5" t="s">
        <v>220</v>
      </c>
      <c r="C227" s="11" t="s">
        <v>221</v>
      </c>
      <c r="D227" s="5" t="s">
        <v>222</v>
      </c>
      <c r="E227" s="8">
        <f>2403.44+9633.82+5165.93+255.99+5000</f>
        <v>22459.180000000004</v>
      </c>
      <c r="F227" s="5" t="s">
        <v>9</v>
      </c>
      <c r="G227" s="2" t="s">
        <v>21</v>
      </c>
    </row>
    <row r="228" spans="1:7" ht="12.75" customHeight="1" x14ac:dyDescent="0.2">
      <c r="A228" s="11">
        <v>210</v>
      </c>
      <c r="B228" s="5" t="s">
        <v>428</v>
      </c>
      <c r="C228" s="11">
        <v>80972836106</v>
      </c>
      <c r="D228" s="5" t="s">
        <v>429</v>
      </c>
      <c r="E228" s="8">
        <v>115.8</v>
      </c>
      <c r="F228" s="5" t="s">
        <v>9</v>
      </c>
      <c r="G228" s="2" t="s">
        <v>130</v>
      </c>
    </row>
    <row r="229" spans="1:7" x14ac:dyDescent="0.2">
      <c r="A229" s="11">
        <v>211</v>
      </c>
      <c r="B229" s="5" t="s">
        <v>546</v>
      </c>
      <c r="C229" s="11">
        <v>80805858278</v>
      </c>
      <c r="D229" s="5" t="s">
        <v>187</v>
      </c>
      <c r="E229" s="8">
        <v>35.659999999999997</v>
      </c>
      <c r="F229" s="5" t="s">
        <v>9</v>
      </c>
      <c r="G229" s="2" t="s">
        <v>47</v>
      </c>
    </row>
    <row r="230" spans="1:7" x14ac:dyDescent="0.2">
      <c r="A230" s="11">
        <v>212</v>
      </c>
      <c r="B230" s="5" t="s">
        <v>590</v>
      </c>
      <c r="C230" s="11">
        <v>58421021869</v>
      </c>
      <c r="D230" s="5" t="s">
        <v>591</v>
      </c>
      <c r="E230" s="8">
        <f>2000+1101.6+4000+7615.25</f>
        <v>14716.85</v>
      </c>
      <c r="F230" s="5" t="s">
        <v>9</v>
      </c>
      <c r="G230" s="2" t="s">
        <v>21</v>
      </c>
    </row>
    <row r="231" spans="1:7" x14ac:dyDescent="0.2">
      <c r="A231" s="11">
        <v>213</v>
      </c>
      <c r="B231" s="5" t="s">
        <v>246</v>
      </c>
      <c r="C231" s="11">
        <v>97994010225</v>
      </c>
      <c r="D231" s="5" t="s">
        <v>247</v>
      </c>
      <c r="E231" s="8">
        <f>553.04+888.8+69.98+210.63+3332.38+680.58+688.7</f>
        <v>6424.11</v>
      </c>
      <c r="F231" s="5" t="s">
        <v>9</v>
      </c>
      <c r="G231" s="2" t="s">
        <v>21</v>
      </c>
    </row>
    <row r="232" spans="1:7" x14ac:dyDescent="0.2">
      <c r="A232" s="11">
        <v>214</v>
      </c>
      <c r="B232" s="5" t="s">
        <v>378</v>
      </c>
      <c r="C232" s="11">
        <v>54527841697</v>
      </c>
      <c r="D232" s="5" t="s">
        <v>389</v>
      </c>
      <c r="E232" s="8">
        <f>777.5+2150+925+820</f>
        <v>4672.5</v>
      </c>
      <c r="F232" s="5" t="s">
        <v>9</v>
      </c>
      <c r="G232" s="2" t="s">
        <v>21</v>
      </c>
    </row>
    <row r="233" spans="1:7" x14ac:dyDescent="0.2">
      <c r="A233" s="11">
        <v>215</v>
      </c>
      <c r="B233" s="5" t="s">
        <v>458</v>
      </c>
      <c r="C233" s="11" t="s">
        <v>460</v>
      </c>
      <c r="D233" s="5" t="s">
        <v>459</v>
      </c>
      <c r="E233" s="8">
        <v>409.68</v>
      </c>
      <c r="F233" s="5" t="s">
        <v>9</v>
      </c>
      <c r="G233" s="2" t="s">
        <v>21</v>
      </c>
    </row>
    <row r="234" spans="1:7" x14ac:dyDescent="0.2">
      <c r="A234" s="11">
        <v>216</v>
      </c>
      <c r="B234" s="5" t="s">
        <v>592</v>
      </c>
      <c r="C234" s="11">
        <v>89102192044</v>
      </c>
      <c r="D234" s="5" t="s">
        <v>593</v>
      </c>
      <c r="E234" s="8">
        <f>2*280</f>
        <v>560</v>
      </c>
      <c r="F234" s="5" t="s">
        <v>9</v>
      </c>
      <c r="G234" s="2" t="s">
        <v>337</v>
      </c>
    </row>
    <row r="235" spans="1:7" x14ac:dyDescent="0.2">
      <c r="A235" s="11">
        <v>217</v>
      </c>
      <c r="B235" s="5" t="s">
        <v>309</v>
      </c>
      <c r="C235" s="11">
        <v>76147579166</v>
      </c>
      <c r="D235" s="5" t="s">
        <v>310</v>
      </c>
      <c r="E235" s="8">
        <f>211.22+56.11+61.5</f>
        <v>328.83</v>
      </c>
      <c r="F235" s="5" t="s">
        <v>9</v>
      </c>
      <c r="G235" s="2" t="s">
        <v>21</v>
      </c>
    </row>
    <row r="236" spans="1:7" x14ac:dyDescent="0.2">
      <c r="A236" s="11">
        <v>218</v>
      </c>
      <c r="B236" s="5" t="s">
        <v>354</v>
      </c>
      <c r="C236" s="11">
        <v>79378753915</v>
      </c>
      <c r="D236" s="5" t="s">
        <v>355</v>
      </c>
      <c r="E236" s="8">
        <v>911.63</v>
      </c>
      <c r="F236" s="5" t="s">
        <v>9</v>
      </c>
      <c r="G236" s="2" t="s">
        <v>21</v>
      </c>
    </row>
    <row r="237" spans="1:7" x14ac:dyDescent="0.2">
      <c r="A237" s="11">
        <v>219</v>
      </c>
      <c r="B237" s="5" t="s">
        <v>305</v>
      </c>
      <c r="C237" s="11">
        <v>53785632625</v>
      </c>
      <c r="D237" s="5" t="s">
        <v>306</v>
      </c>
      <c r="E237" s="8">
        <f>126+257.94+1541.85</f>
        <v>1925.79</v>
      </c>
      <c r="F237" s="5" t="s">
        <v>9</v>
      </c>
      <c r="G237" s="2" t="s">
        <v>21</v>
      </c>
    </row>
    <row r="238" spans="1:7" x14ac:dyDescent="0.2">
      <c r="A238" s="11">
        <v>220</v>
      </c>
      <c r="B238" s="5" t="s">
        <v>330</v>
      </c>
      <c r="C238" s="11">
        <v>54661026138</v>
      </c>
      <c r="D238" s="5" t="s">
        <v>331</v>
      </c>
      <c r="E238" s="8">
        <f>375.73+691.19+33.9+234.5</f>
        <v>1335.3200000000002</v>
      </c>
      <c r="F238" s="5" t="s">
        <v>9</v>
      </c>
      <c r="G238" s="2" t="s">
        <v>21</v>
      </c>
    </row>
    <row r="239" spans="1:7" x14ac:dyDescent="0.2">
      <c r="A239" s="11">
        <v>221</v>
      </c>
      <c r="B239" s="5" t="s">
        <v>366</v>
      </c>
      <c r="C239" s="11">
        <v>22911773746</v>
      </c>
      <c r="D239" s="5" t="s">
        <v>367</v>
      </c>
      <c r="E239" s="8">
        <f>2187.5+3619.95+3850+1875</f>
        <v>11532.45</v>
      </c>
      <c r="F239" s="5" t="s">
        <v>9</v>
      </c>
      <c r="G239" s="2" t="s">
        <v>21</v>
      </c>
    </row>
    <row r="240" spans="1:7" x14ac:dyDescent="0.2">
      <c r="A240" s="11">
        <v>222</v>
      </c>
      <c r="B240" s="5" t="s">
        <v>382</v>
      </c>
      <c r="C240" s="11">
        <v>38867318377</v>
      </c>
      <c r="D240" s="5" t="s">
        <v>383</v>
      </c>
      <c r="E240" s="8">
        <f>287.33+73.88+87.64+260.06</f>
        <v>708.91</v>
      </c>
      <c r="F240" s="5" t="s">
        <v>9</v>
      </c>
      <c r="G240" s="2" t="s">
        <v>21</v>
      </c>
    </row>
    <row r="241" spans="1:7" x14ac:dyDescent="0.2">
      <c r="A241" s="11">
        <v>223</v>
      </c>
      <c r="B241" s="5" t="s">
        <v>206</v>
      </c>
      <c r="C241" s="11">
        <v>64546066176</v>
      </c>
      <c r="D241" s="5" t="s">
        <v>207</v>
      </c>
      <c r="E241" s="8">
        <f>32.28</f>
        <v>32.28</v>
      </c>
      <c r="F241" s="5" t="s">
        <v>9</v>
      </c>
      <c r="G241" s="2" t="s">
        <v>21</v>
      </c>
    </row>
    <row r="242" spans="1:7" x14ac:dyDescent="0.2">
      <c r="A242" s="11">
        <v>224</v>
      </c>
      <c r="B242" s="5" t="s">
        <v>415</v>
      </c>
      <c r="C242" s="11">
        <v>31826907316</v>
      </c>
      <c r="D242" s="5" t="s">
        <v>416</v>
      </c>
      <c r="E242" s="8">
        <f>1420.45+57.4</f>
        <v>1477.8500000000001</v>
      </c>
      <c r="F242" s="5" t="s">
        <v>9</v>
      </c>
      <c r="G242" s="2" t="s">
        <v>21</v>
      </c>
    </row>
    <row r="243" spans="1:7" x14ac:dyDescent="0.2">
      <c r="A243" s="11">
        <v>225</v>
      </c>
      <c r="B243" s="5" t="s">
        <v>119</v>
      </c>
      <c r="C243" s="11">
        <v>55326209639</v>
      </c>
      <c r="D243" s="5" t="s">
        <v>158</v>
      </c>
      <c r="E243" s="8">
        <f>146.56+1575</f>
        <v>1721.56</v>
      </c>
      <c r="F243" s="5" t="s">
        <v>9</v>
      </c>
      <c r="G243" s="2" t="s">
        <v>21</v>
      </c>
    </row>
    <row r="244" spans="1:7" x14ac:dyDescent="0.2">
      <c r="A244" s="11">
        <v>226</v>
      </c>
      <c r="B244" s="5" t="s">
        <v>1575</v>
      </c>
      <c r="C244" s="11">
        <v>36774819256</v>
      </c>
      <c r="D244" s="5" t="s">
        <v>352</v>
      </c>
      <c r="E244" s="8">
        <v>4312.5</v>
      </c>
      <c r="F244" s="5" t="s">
        <v>9</v>
      </c>
      <c r="G244" s="2" t="s">
        <v>1576</v>
      </c>
    </row>
    <row r="245" spans="1:7" x14ac:dyDescent="0.2">
      <c r="A245" s="11">
        <v>227</v>
      </c>
      <c r="B245" s="5" t="s">
        <v>183</v>
      </c>
      <c r="C245" s="11">
        <v>26004523816</v>
      </c>
      <c r="D245" s="5" t="s">
        <v>185</v>
      </c>
      <c r="E245" s="8">
        <f>106.06+224.94</f>
        <v>331</v>
      </c>
      <c r="F245" s="5" t="s">
        <v>9</v>
      </c>
      <c r="G245" s="2" t="s">
        <v>21</v>
      </c>
    </row>
    <row r="246" spans="1:7" x14ac:dyDescent="0.2">
      <c r="A246" s="11">
        <v>228</v>
      </c>
      <c r="B246" s="5" t="s">
        <v>729</v>
      </c>
      <c r="C246" s="11">
        <v>38812451417</v>
      </c>
      <c r="D246" s="5" t="s">
        <v>730</v>
      </c>
      <c r="E246" s="8">
        <f>375.92+468.47</f>
        <v>844.3900000000001</v>
      </c>
      <c r="F246" s="5" t="s">
        <v>9</v>
      </c>
      <c r="G246" s="2" t="s">
        <v>84</v>
      </c>
    </row>
    <row r="247" spans="1:7" x14ac:dyDescent="0.2">
      <c r="A247" s="11">
        <v>229</v>
      </c>
      <c r="B247" s="5" t="s">
        <v>107</v>
      </c>
      <c r="C247" s="12" t="s">
        <v>149</v>
      </c>
      <c r="D247" s="5" t="s">
        <v>150</v>
      </c>
      <c r="E247" s="8">
        <f>236.83+301.21</f>
        <v>538.04</v>
      </c>
      <c r="F247" s="5" t="s">
        <v>9</v>
      </c>
      <c r="G247" s="2" t="s">
        <v>84</v>
      </c>
    </row>
    <row r="248" spans="1:7" x14ac:dyDescent="0.2">
      <c r="A248" s="11">
        <v>230</v>
      </c>
      <c r="B248" s="5" t="s">
        <v>106</v>
      </c>
      <c r="C248" s="11">
        <v>70467048139</v>
      </c>
      <c r="D248" s="5" t="s">
        <v>148</v>
      </c>
      <c r="E248" s="8">
        <f>11.7+16.01</f>
        <v>27.71</v>
      </c>
      <c r="F248" s="5" t="s">
        <v>9</v>
      </c>
      <c r="G248" s="2" t="s">
        <v>84</v>
      </c>
    </row>
    <row r="249" spans="1:7" x14ac:dyDescent="0.2">
      <c r="A249" s="11">
        <v>231</v>
      </c>
      <c r="B249" s="5" t="s">
        <v>811</v>
      </c>
      <c r="C249" s="11">
        <v>40779258479</v>
      </c>
      <c r="D249" s="5" t="s">
        <v>812</v>
      </c>
      <c r="E249" s="8">
        <f>20000+57221.68+5000+25707.16</f>
        <v>107928.84</v>
      </c>
      <c r="F249" s="5" t="s">
        <v>9</v>
      </c>
      <c r="G249" s="2" t="s">
        <v>21</v>
      </c>
    </row>
    <row r="250" spans="1:7" x14ac:dyDescent="0.2">
      <c r="A250" s="11">
        <v>232</v>
      </c>
      <c r="B250" s="5" t="s">
        <v>109</v>
      </c>
      <c r="C250" s="11">
        <v>26211106548</v>
      </c>
      <c r="D250" s="5" t="s">
        <v>111</v>
      </c>
      <c r="E250" s="8">
        <f>2*140.02</f>
        <v>280.04000000000002</v>
      </c>
      <c r="F250" s="5" t="s">
        <v>9</v>
      </c>
      <c r="G250" s="2" t="s">
        <v>84</v>
      </c>
    </row>
    <row r="251" spans="1:7" x14ac:dyDescent="0.2">
      <c r="A251" s="11">
        <v>233</v>
      </c>
      <c r="B251" s="5" t="s">
        <v>61</v>
      </c>
      <c r="C251" s="11">
        <v>68419124305</v>
      </c>
      <c r="D251" s="5" t="s">
        <v>62</v>
      </c>
      <c r="E251" s="8">
        <f>2*106.2</f>
        <v>212.4</v>
      </c>
      <c r="F251" s="5" t="s">
        <v>9</v>
      </c>
      <c r="G251" s="2" t="s">
        <v>60</v>
      </c>
    </row>
    <row r="252" spans="1:7" x14ac:dyDescent="0.2">
      <c r="A252" s="11">
        <v>234</v>
      </c>
      <c r="B252" s="5" t="s">
        <v>202</v>
      </c>
      <c r="C252" s="11">
        <v>31174430130</v>
      </c>
      <c r="D252" s="5" t="s">
        <v>203</v>
      </c>
      <c r="E252" s="8">
        <f>2*298.86</f>
        <v>597.72</v>
      </c>
      <c r="F252" s="5" t="s">
        <v>9</v>
      </c>
      <c r="G252" s="2" t="s">
        <v>84</v>
      </c>
    </row>
    <row r="253" spans="1:7" x14ac:dyDescent="0.2">
      <c r="A253" s="11">
        <v>235</v>
      </c>
      <c r="B253" s="5" t="s">
        <v>929</v>
      </c>
      <c r="C253" s="11">
        <v>41317489366</v>
      </c>
      <c r="D253" s="5" t="s">
        <v>930</v>
      </c>
      <c r="E253" s="8">
        <v>2.8</v>
      </c>
      <c r="F253" s="5" t="s">
        <v>9</v>
      </c>
      <c r="G253" s="2" t="s">
        <v>195</v>
      </c>
    </row>
    <row r="254" spans="1:7" x14ac:dyDescent="0.2">
      <c r="A254" s="11">
        <v>236</v>
      </c>
      <c r="B254" s="5" t="s">
        <v>15</v>
      </c>
      <c r="C254" s="11" t="s">
        <v>15</v>
      </c>
      <c r="D254" s="5" t="s">
        <v>15</v>
      </c>
      <c r="E254" s="8">
        <f>600</f>
        <v>600</v>
      </c>
      <c r="F254" s="5" t="s">
        <v>9</v>
      </c>
      <c r="G254" s="2" t="s">
        <v>524</v>
      </c>
    </row>
    <row r="255" spans="1:7" x14ac:dyDescent="0.2">
      <c r="A255" s="11">
        <v>237</v>
      </c>
      <c r="B255" s="5" t="s">
        <v>874</v>
      </c>
      <c r="C255" s="11" t="s">
        <v>875</v>
      </c>
      <c r="D255" s="5" t="s">
        <v>876</v>
      </c>
      <c r="E255" s="8">
        <v>2323</v>
      </c>
      <c r="F255" s="5" t="s">
        <v>9</v>
      </c>
      <c r="G255" s="2" t="s">
        <v>21</v>
      </c>
    </row>
    <row r="256" spans="1:7" x14ac:dyDescent="0.2">
      <c r="A256" s="11">
        <v>238</v>
      </c>
      <c r="B256" s="5" t="s">
        <v>582</v>
      </c>
      <c r="C256" s="11">
        <v>38842004780</v>
      </c>
      <c r="D256" s="5" t="s">
        <v>583</v>
      </c>
      <c r="E256" s="8">
        <v>350</v>
      </c>
      <c r="F256" s="5" t="s">
        <v>9</v>
      </c>
      <c r="G256" s="2" t="s">
        <v>21</v>
      </c>
    </row>
    <row r="257" spans="1:7" ht="12.75" thickBot="1" x14ac:dyDescent="0.25">
      <c r="A257" s="11">
        <v>239</v>
      </c>
      <c r="B257" s="5" t="s">
        <v>625</v>
      </c>
      <c r="C257" s="11">
        <v>43764396102</v>
      </c>
      <c r="D257" s="5" t="s">
        <v>626</v>
      </c>
      <c r="E257" s="8">
        <f>1000+2000+1000+3000+1000</f>
        <v>8000</v>
      </c>
      <c r="F257" s="5" t="s">
        <v>9</v>
      </c>
      <c r="G257" s="2" t="s">
        <v>21</v>
      </c>
    </row>
    <row r="258" spans="1:7" x14ac:dyDescent="0.2">
      <c r="A258" s="74">
        <v>240</v>
      </c>
      <c r="B258" s="76" t="s">
        <v>43</v>
      </c>
      <c r="C258" s="74">
        <v>39901919995</v>
      </c>
      <c r="D258" s="76" t="s">
        <v>51</v>
      </c>
      <c r="E258" s="16">
        <f>12160.01+30937.5+5346.66+8794.6+30937.5</f>
        <v>88176.26999999999</v>
      </c>
      <c r="F258" s="88" t="s">
        <v>9</v>
      </c>
      <c r="G258" s="28" t="s">
        <v>46</v>
      </c>
    </row>
    <row r="259" spans="1:7" x14ac:dyDescent="0.2">
      <c r="A259" s="80"/>
      <c r="B259" s="79"/>
      <c r="C259" s="80"/>
      <c r="D259" s="79"/>
      <c r="E259" s="8">
        <v>9098.3799999999992</v>
      </c>
      <c r="F259" s="89"/>
      <c r="G259" s="2" t="s">
        <v>44</v>
      </c>
    </row>
    <row r="260" spans="1:7" ht="12.75" thickBot="1" x14ac:dyDescent="0.25">
      <c r="A260" s="75"/>
      <c r="B260" s="77"/>
      <c r="C260" s="75"/>
      <c r="D260" s="77"/>
      <c r="E260" s="18">
        <v>4931.49</v>
      </c>
      <c r="F260" s="92"/>
      <c r="G260" s="29" t="s">
        <v>195</v>
      </c>
    </row>
    <row r="261" spans="1:7" x14ac:dyDescent="0.2">
      <c r="A261" s="34">
        <v>241</v>
      </c>
      <c r="B261" s="30" t="s">
        <v>449</v>
      </c>
      <c r="C261" s="34" t="s">
        <v>450</v>
      </c>
      <c r="D261" s="30" t="s">
        <v>451</v>
      </c>
      <c r="E261" s="17">
        <v>4742.3999999999996</v>
      </c>
      <c r="F261" s="30" t="s">
        <v>9</v>
      </c>
      <c r="G261" s="31" t="s">
        <v>21</v>
      </c>
    </row>
    <row r="262" spans="1:7" x14ac:dyDescent="0.2">
      <c r="A262" s="11">
        <v>242</v>
      </c>
      <c r="B262" s="5" t="s">
        <v>474</v>
      </c>
      <c r="C262" s="11">
        <v>51469557335</v>
      </c>
      <c r="D262" s="5" t="s">
        <v>475</v>
      </c>
      <c r="E262" s="8">
        <v>94.5</v>
      </c>
      <c r="F262" s="5" t="s">
        <v>9</v>
      </c>
      <c r="G262" s="2" t="s">
        <v>21</v>
      </c>
    </row>
    <row r="263" spans="1:7" x14ac:dyDescent="0.2">
      <c r="A263" s="11">
        <v>243</v>
      </c>
      <c r="B263" s="5" t="s">
        <v>1013</v>
      </c>
      <c r="C263" s="11">
        <v>94472454976</v>
      </c>
      <c r="D263" s="5" t="s">
        <v>1014</v>
      </c>
      <c r="E263" s="8">
        <v>6179.37</v>
      </c>
      <c r="F263" s="5" t="s">
        <v>9</v>
      </c>
      <c r="G263" s="2" t="s">
        <v>1015</v>
      </c>
    </row>
    <row r="264" spans="1:7" x14ac:dyDescent="0.2">
      <c r="A264" s="11">
        <v>244</v>
      </c>
      <c r="B264" s="5" t="s">
        <v>1625</v>
      </c>
      <c r="C264" s="12">
        <v>85828625994</v>
      </c>
      <c r="D264" s="5" t="s">
        <v>323</v>
      </c>
      <c r="E264" s="8">
        <v>14.82</v>
      </c>
      <c r="F264" s="5" t="s">
        <v>9</v>
      </c>
      <c r="G264" s="2" t="s">
        <v>318</v>
      </c>
    </row>
    <row r="265" spans="1:7" x14ac:dyDescent="0.2">
      <c r="A265" s="11">
        <v>245</v>
      </c>
      <c r="B265" s="19" t="s">
        <v>1335</v>
      </c>
      <c r="C265" s="33">
        <v>61807090908</v>
      </c>
      <c r="D265" s="19" t="s">
        <v>1336</v>
      </c>
      <c r="E265" s="15">
        <v>751.09</v>
      </c>
      <c r="F265" s="19" t="s">
        <v>9</v>
      </c>
      <c r="G265" s="26" t="s">
        <v>211</v>
      </c>
    </row>
    <row r="266" spans="1:7" x14ac:dyDescent="0.2">
      <c r="A266" s="11">
        <v>246</v>
      </c>
      <c r="B266" s="5" t="s">
        <v>191</v>
      </c>
      <c r="C266" s="11">
        <v>46289034988</v>
      </c>
      <c r="D266" s="5" t="s">
        <v>193</v>
      </c>
      <c r="E266" s="8">
        <f>1365.66+250+646.25</f>
        <v>2261.91</v>
      </c>
      <c r="F266" s="5" t="s">
        <v>9</v>
      </c>
      <c r="G266" s="2" t="s">
        <v>192</v>
      </c>
    </row>
    <row r="267" spans="1:7" x14ac:dyDescent="0.2">
      <c r="A267" s="11">
        <v>247</v>
      </c>
      <c r="B267" s="5" t="s">
        <v>22</v>
      </c>
      <c r="C267" s="11">
        <v>73660371074</v>
      </c>
      <c r="D267" s="5" t="s">
        <v>28</v>
      </c>
      <c r="E267" s="8">
        <v>178.59</v>
      </c>
      <c r="F267" s="5" t="s">
        <v>9</v>
      </c>
      <c r="G267" s="2" t="s">
        <v>21</v>
      </c>
    </row>
    <row r="268" spans="1:7" x14ac:dyDescent="0.2">
      <c r="A268" s="11">
        <v>248</v>
      </c>
      <c r="B268" s="5" t="s">
        <v>519</v>
      </c>
      <c r="C268" s="11">
        <v>64634216475</v>
      </c>
      <c r="D268" s="5" t="s">
        <v>520</v>
      </c>
      <c r="E268" s="8">
        <f>164.85</f>
        <v>164.85</v>
      </c>
      <c r="F268" s="5" t="s">
        <v>9</v>
      </c>
      <c r="G268" s="2" t="s">
        <v>21</v>
      </c>
    </row>
    <row r="269" spans="1:7" x14ac:dyDescent="0.2">
      <c r="A269" s="11">
        <v>249</v>
      </c>
      <c r="B269" s="30" t="s">
        <v>850</v>
      </c>
      <c r="C269" s="34">
        <v>18545665005</v>
      </c>
      <c r="D269" s="30" t="s">
        <v>352</v>
      </c>
      <c r="E269" s="8">
        <f>550</f>
        <v>550</v>
      </c>
      <c r="F269" s="5" t="s">
        <v>9</v>
      </c>
      <c r="G269" s="2" t="s">
        <v>21</v>
      </c>
    </row>
    <row r="270" spans="1:7" x14ac:dyDescent="0.2">
      <c r="A270" s="11">
        <v>250</v>
      </c>
      <c r="B270" s="21" t="s">
        <v>1262</v>
      </c>
      <c r="C270" s="22">
        <v>69638067216</v>
      </c>
      <c r="D270" s="21" t="s">
        <v>1263</v>
      </c>
      <c r="E270" s="8">
        <f>269.4</f>
        <v>269.39999999999998</v>
      </c>
      <c r="F270" s="5" t="s">
        <v>9</v>
      </c>
      <c r="G270" s="2" t="s">
        <v>21</v>
      </c>
    </row>
    <row r="271" spans="1:7" x14ac:dyDescent="0.2">
      <c r="A271" s="11">
        <v>251</v>
      </c>
      <c r="B271" s="21" t="s">
        <v>1726</v>
      </c>
      <c r="C271" s="22">
        <v>29224881750</v>
      </c>
      <c r="D271" s="21" t="s">
        <v>1229</v>
      </c>
      <c r="E271" s="8">
        <v>144.38</v>
      </c>
      <c r="F271" s="5" t="s">
        <v>9</v>
      </c>
      <c r="G271" s="2" t="s">
        <v>21</v>
      </c>
    </row>
    <row r="272" spans="1:7" x14ac:dyDescent="0.2">
      <c r="A272" s="11">
        <v>252</v>
      </c>
      <c r="B272" s="5" t="s">
        <v>1727</v>
      </c>
      <c r="C272" s="11">
        <v>31062429092</v>
      </c>
      <c r="D272" s="5" t="s">
        <v>1728</v>
      </c>
      <c r="E272" s="8">
        <f>561.45+151.51+155.51</f>
        <v>868.47</v>
      </c>
      <c r="F272" s="5" t="s">
        <v>9</v>
      </c>
      <c r="G272" s="2" t="s">
        <v>130</v>
      </c>
    </row>
    <row r="273" spans="1:7" x14ac:dyDescent="0.2">
      <c r="A273" s="11">
        <v>253</v>
      </c>
      <c r="B273" s="5" t="s">
        <v>1165</v>
      </c>
      <c r="C273" s="11">
        <v>44751968182</v>
      </c>
      <c r="D273" s="5" t="s">
        <v>1729</v>
      </c>
      <c r="E273" s="8">
        <v>27.6</v>
      </c>
      <c r="F273" s="5" t="s">
        <v>9</v>
      </c>
      <c r="G273" s="2" t="s">
        <v>21</v>
      </c>
    </row>
    <row r="274" spans="1:7" x14ac:dyDescent="0.2">
      <c r="A274" s="11">
        <v>254</v>
      </c>
      <c r="B274" s="5" t="s">
        <v>1292</v>
      </c>
      <c r="C274" s="11">
        <v>18376805890</v>
      </c>
      <c r="D274" s="5" t="s">
        <v>1293</v>
      </c>
      <c r="E274" s="8">
        <v>361.6</v>
      </c>
      <c r="F274" s="5" t="s">
        <v>9</v>
      </c>
      <c r="G274" s="2" t="s">
        <v>1730</v>
      </c>
    </row>
    <row r="275" spans="1:7" x14ac:dyDescent="0.2">
      <c r="A275" s="11">
        <v>255</v>
      </c>
      <c r="B275" s="5" t="s">
        <v>514</v>
      </c>
      <c r="C275" s="11" t="s">
        <v>515</v>
      </c>
      <c r="D275" s="5" t="s">
        <v>516</v>
      </c>
      <c r="E275" s="8">
        <v>5107.5</v>
      </c>
      <c r="F275" s="5" t="s">
        <v>9</v>
      </c>
      <c r="G275" s="2" t="s">
        <v>21</v>
      </c>
    </row>
    <row r="276" spans="1:7" x14ac:dyDescent="0.2">
      <c r="A276" s="11">
        <v>256</v>
      </c>
      <c r="B276" s="5" t="s">
        <v>570</v>
      </c>
      <c r="C276" s="12">
        <v>39643065205</v>
      </c>
      <c r="D276" s="5" t="s">
        <v>571</v>
      </c>
      <c r="E276" s="8">
        <v>248</v>
      </c>
      <c r="F276" s="5" t="s">
        <v>9</v>
      </c>
      <c r="G276" s="2" t="s">
        <v>21</v>
      </c>
    </row>
    <row r="277" spans="1:7" x14ac:dyDescent="0.2">
      <c r="A277" s="11">
        <v>257</v>
      </c>
      <c r="B277" s="21" t="s">
        <v>1553</v>
      </c>
      <c r="C277" s="22">
        <v>80572192786</v>
      </c>
      <c r="D277" s="21" t="s">
        <v>1554</v>
      </c>
      <c r="E277" s="8">
        <f>371+541+1420</f>
        <v>2332</v>
      </c>
      <c r="F277" s="21" t="s">
        <v>9</v>
      </c>
      <c r="G277" s="2" t="s">
        <v>1731</v>
      </c>
    </row>
    <row r="278" spans="1:7" x14ac:dyDescent="0.2">
      <c r="A278" s="11">
        <v>258</v>
      </c>
      <c r="B278" s="5" t="s">
        <v>1732</v>
      </c>
      <c r="C278" s="11">
        <v>70140364776</v>
      </c>
      <c r="D278" s="5" t="s">
        <v>1733</v>
      </c>
      <c r="E278" s="8">
        <v>346.74</v>
      </c>
      <c r="F278" s="5" t="s">
        <v>9</v>
      </c>
      <c r="G278" s="2" t="s">
        <v>259</v>
      </c>
    </row>
    <row r="279" spans="1:7" x14ac:dyDescent="0.2">
      <c r="A279" s="11">
        <v>259</v>
      </c>
      <c r="B279" s="5" t="s">
        <v>15</v>
      </c>
      <c r="C279" s="11" t="s">
        <v>15</v>
      </c>
      <c r="D279" s="5" t="s">
        <v>15</v>
      </c>
      <c r="E279" s="8">
        <v>163558.42000000001</v>
      </c>
      <c r="F279" s="5" t="s">
        <v>9</v>
      </c>
      <c r="G279" s="2" t="s">
        <v>1734</v>
      </c>
    </row>
    <row r="280" spans="1:7" x14ac:dyDescent="0.2">
      <c r="A280" s="11">
        <v>260</v>
      </c>
      <c r="B280" s="5" t="s">
        <v>96</v>
      </c>
      <c r="C280" s="11">
        <v>15429488788</v>
      </c>
      <c r="D280" s="5" t="s">
        <v>97</v>
      </c>
      <c r="E280" s="8">
        <f>961+148.11</f>
        <v>1109.1100000000001</v>
      </c>
      <c r="F280" s="5" t="s">
        <v>9</v>
      </c>
      <c r="G280" s="2" t="s">
        <v>45</v>
      </c>
    </row>
    <row r="281" spans="1:7" x14ac:dyDescent="0.2">
      <c r="A281" s="11">
        <v>261</v>
      </c>
      <c r="B281" s="5" t="s">
        <v>933</v>
      </c>
      <c r="C281" s="11">
        <v>80001002923</v>
      </c>
      <c r="D281" s="5" t="s">
        <v>934</v>
      </c>
      <c r="E281" s="8">
        <v>49.63</v>
      </c>
      <c r="F281" s="5" t="s">
        <v>9</v>
      </c>
      <c r="G281" s="2" t="s">
        <v>21</v>
      </c>
    </row>
    <row r="282" spans="1:7" x14ac:dyDescent="0.2">
      <c r="A282" s="11">
        <v>262</v>
      </c>
      <c r="B282" s="5" t="s">
        <v>614</v>
      </c>
      <c r="C282" s="11">
        <v>57845277445</v>
      </c>
      <c r="D282" s="5" t="s">
        <v>615</v>
      </c>
      <c r="E282" s="8">
        <v>445.75</v>
      </c>
      <c r="F282" s="5" t="s">
        <v>9</v>
      </c>
      <c r="G282" s="2" t="s">
        <v>132</v>
      </c>
    </row>
    <row r="283" spans="1:7" x14ac:dyDescent="0.2">
      <c r="A283" s="11">
        <v>263</v>
      </c>
      <c r="B283" s="5" t="s">
        <v>1476</v>
      </c>
      <c r="C283" s="11">
        <v>48685654424</v>
      </c>
      <c r="D283" s="5" t="s">
        <v>1477</v>
      </c>
      <c r="E283" s="8">
        <f>2000+2000+8000+2000+4000</f>
        <v>18000</v>
      </c>
      <c r="F283" s="5" t="s">
        <v>9</v>
      </c>
      <c r="G283" s="2" t="s">
        <v>21</v>
      </c>
    </row>
    <row r="284" spans="1:7" x14ac:dyDescent="0.2">
      <c r="A284" s="11">
        <v>264</v>
      </c>
      <c r="B284" s="5" t="s">
        <v>578</v>
      </c>
      <c r="C284" s="12">
        <v>83442273157</v>
      </c>
      <c r="D284" s="5" t="s">
        <v>579</v>
      </c>
      <c r="E284" s="8">
        <v>516.13</v>
      </c>
      <c r="F284" s="5" t="s">
        <v>9</v>
      </c>
      <c r="G284" s="2" t="s">
        <v>144</v>
      </c>
    </row>
    <row r="285" spans="1:7" x14ac:dyDescent="0.2">
      <c r="A285" s="11">
        <v>265</v>
      </c>
      <c r="B285" s="5" t="s">
        <v>616</v>
      </c>
      <c r="C285" s="12">
        <v>15140147538</v>
      </c>
      <c r="D285" s="5" t="s">
        <v>384</v>
      </c>
      <c r="E285" s="8">
        <f>1422.5+1640+2210+2251.88</f>
        <v>7524.38</v>
      </c>
      <c r="F285" s="5" t="s">
        <v>9</v>
      </c>
      <c r="G285" s="2" t="s">
        <v>21</v>
      </c>
    </row>
    <row r="286" spans="1:7" x14ac:dyDescent="0.2">
      <c r="A286" s="11">
        <v>266</v>
      </c>
      <c r="B286" s="5" t="s">
        <v>580</v>
      </c>
      <c r="C286" s="11">
        <v>98164456048</v>
      </c>
      <c r="D286" s="5" t="s">
        <v>581</v>
      </c>
      <c r="E286" s="8">
        <v>1624.95</v>
      </c>
      <c r="F286" s="5" t="s">
        <v>9</v>
      </c>
      <c r="G286" s="2" t="s">
        <v>138</v>
      </c>
    </row>
    <row r="287" spans="1:7" ht="5.25" customHeight="1" x14ac:dyDescent="0.2">
      <c r="A287" s="11"/>
      <c r="B287" s="5"/>
      <c r="C287" s="11"/>
      <c r="D287" s="5"/>
      <c r="E287" s="8"/>
      <c r="F287" s="5"/>
      <c r="G287" s="2"/>
    </row>
    <row r="289" spans="4:5" x14ac:dyDescent="0.2">
      <c r="D289" s="53" t="s">
        <v>1735</v>
      </c>
      <c r="E289" s="63">
        <f>SUM(E11:E287)</f>
        <v>3317641.0399999996</v>
      </c>
    </row>
  </sheetData>
  <sheetProtection algorithmName="SHA-512" hashValue="a5Rl8FroSR+lMxwa/NwNkGI6vcyYhdlPGE21EhiVGj8tMXaWAG5PmEHy4YfFpIVRUFdq6uW8FkG6TJEAIhaU/A==" saltValue="Itc+7pERcC2ExlSM/r1QVw==" spinCount="100000" sheet="1" objects="1" scenarios="1" selectLockedCells="1" autoFilter="0" selectUnlockedCells="1"/>
  <autoFilter ref="A10:G286" xr:uid="{6610CF5F-111D-467A-A5C2-1FFD0B472456}"/>
  <mergeCells count="38">
    <mergeCell ref="A210:A211"/>
    <mergeCell ref="B210:B211"/>
    <mergeCell ref="C210:C211"/>
    <mergeCell ref="D210:D211"/>
    <mergeCell ref="F210:F211"/>
    <mergeCell ref="A258:A260"/>
    <mergeCell ref="B258:B260"/>
    <mergeCell ref="C258:C260"/>
    <mergeCell ref="D258:D260"/>
    <mergeCell ref="F258:F260"/>
    <mergeCell ref="A108:A111"/>
    <mergeCell ref="B108:B111"/>
    <mergeCell ref="C108:C111"/>
    <mergeCell ref="D108:D111"/>
    <mergeCell ref="F108:F111"/>
    <mergeCell ref="A160:A161"/>
    <mergeCell ref="B160:B161"/>
    <mergeCell ref="C160:C161"/>
    <mergeCell ref="D160:D161"/>
    <mergeCell ref="F160:F161"/>
    <mergeCell ref="A32:A33"/>
    <mergeCell ref="B32:B33"/>
    <mergeCell ref="C32:C33"/>
    <mergeCell ref="D32:D33"/>
    <mergeCell ref="F32:F33"/>
    <mergeCell ref="A43:A44"/>
    <mergeCell ref="B43:B44"/>
    <mergeCell ref="C43:C44"/>
    <mergeCell ref="D43:D44"/>
    <mergeCell ref="F43:F44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686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4">
        <v>19</v>
      </c>
      <c r="B29" s="76" t="s">
        <v>393</v>
      </c>
      <c r="C29" s="74">
        <v>66253945791</v>
      </c>
      <c r="D29" s="76" t="s">
        <v>50</v>
      </c>
      <c r="E29" s="16">
        <f>11625</f>
        <v>11625</v>
      </c>
      <c r="F29" s="76" t="s">
        <v>9</v>
      </c>
      <c r="G29" s="28" t="s">
        <v>39</v>
      </c>
    </row>
    <row r="30" spans="1:9" x14ac:dyDescent="0.2">
      <c r="A30" s="80"/>
      <c r="B30" s="79"/>
      <c r="C30" s="80"/>
      <c r="D30" s="79"/>
      <c r="E30" s="8">
        <f>95585.57+2445.59+80000+277763.63</f>
        <v>455794.79000000004</v>
      </c>
      <c r="F30" s="79"/>
      <c r="G30" s="2" t="s">
        <v>41</v>
      </c>
      <c r="I30" s="13"/>
    </row>
    <row r="31" spans="1:9" ht="12.75" thickBot="1" x14ac:dyDescent="0.25">
      <c r="A31" s="75"/>
      <c r="B31" s="77"/>
      <c r="C31" s="75"/>
      <c r="D31" s="77"/>
      <c r="E31" s="18">
        <f>2101.66+18432.15+15039.78</f>
        <v>35573.590000000004</v>
      </c>
      <c r="F31" s="77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4">
        <v>22</v>
      </c>
      <c r="B34" s="76" t="s">
        <v>43</v>
      </c>
      <c r="C34" s="74">
        <v>39901919995</v>
      </c>
      <c r="D34" s="76" t="s">
        <v>51</v>
      </c>
      <c r="E34" s="16">
        <v>3019.88</v>
      </c>
      <c r="F34" s="76" t="s">
        <v>9</v>
      </c>
      <c r="G34" s="28" t="s">
        <v>44</v>
      </c>
    </row>
    <row r="35" spans="1:9" x14ac:dyDescent="0.2">
      <c r="A35" s="80"/>
      <c r="B35" s="79"/>
      <c r="C35" s="80"/>
      <c r="D35" s="79"/>
      <c r="E35" s="8">
        <v>398.03</v>
      </c>
      <c r="F35" s="79"/>
      <c r="G35" s="2" t="s">
        <v>45</v>
      </c>
      <c r="I35" s="13"/>
    </row>
    <row r="36" spans="1:9" x14ac:dyDescent="0.2">
      <c r="A36" s="80"/>
      <c r="B36" s="79"/>
      <c r="C36" s="80"/>
      <c r="D36" s="79"/>
      <c r="E36" s="8">
        <v>18298.189999999999</v>
      </c>
      <c r="F36" s="79"/>
      <c r="G36" s="2" t="s">
        <v>694</v>
      </c>
      <c r="I36" s="13"/>
    </row>
    <row r="37" spans="1:9" x14ac:dyDescent="0.2">
      <c r="A37" s="80"/>
      <c r="B37" s="79"/>
      <c r="C37" s="80"/>
      <c r="D37" s="79"/>
      <c r="E37" s="8">
        <f>10937.5+3575.58</f>
        <v>14513.08</v>
      </c>
      <c r="F37" s="79"/>
      <c r="G37" s="2" t="s">
        <v>46</v>
      </c>
    </row>
    <row r="38" spans="1:9" ht="12.75" thickBot="1" x14ac:dyDescent="0.25">
      <c r="A38" s="75"/>
      <c r="B38" s="77"/>
      <c r="C38" s="75"/>
      <c r="D38" s="77"/>
      <c r="E38" s="18">
        <f>17</f>
        <v>17</v>
      </c>
      <c r="F38" s="77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4">
        <v>24</v>
      </c>
      <c r="B40" s="76" t="s">
        <v>55</v>
      </c>
      <c r="C40" s="74">
        <v>11471889269</v>
      </c>
      <c r="D40" s="76" t="s">
        <v>56</v>
      </c>
      <c r="E40" s="16">
        <f>800+5940.36</f>
        <v>6740.36</v>
      </c>
      <c r="F40" s="76" t="s">
        <v>9</v>
      </c>
      <c r="G40" s="28" t="s">
        <v>41</v>
      </c>
    </row>
    <row r="41" spans="1:9" ht="12.75" thickBot="1" x14ac:dyDescent="0.25">
      <c r="A41" s="75"/>
      <c r="B41" s="77"/>
      <c r="C41" s="75"/>
      <c r="D41" s="77"/>
      <c r="E41" s="18">
        <f>10000+16375.7+6140.5+27915.68+23583.36</f>
        <v>84015.24</v>
      </c>
      <c r="F41" s="77"/>
      <c r="G41" s="29" t="s">
        <v>21</v>
      </c>
    </row>
    <row r="42" spans="1:9" x14ac:dyDescent="0.2">
      <c r="A42" s="74">
        <v>25</v>
      </c>
      <c r="B42" s="76" t="s">
        <v>57</v>
      </c>
      <c r="C42" s="74">
        <v>27759560625</v>
      </c>
      <c r="D42" s="88" t="s">
        <v>59</v>
      </c>
      <c r="E42" s="16">
        <v>6269.49</v>
      </c>
      <c r="F42" s="76" t="s">
        <v>9</v>
      </c>
      <c r="G42" s="28" t="s">
        <v>58</v>
      </c>
    </row>
    <row r="43" spans="1:9" ht="12.75" thickBot="1" x14ac:dyDescent="0.25">
      <c r="A43" s="80"/>
      <c r="B43" s="79"/>
      <c r="C43" s="80"/>
      <c r="D43" s="89"/>
      <c r="E43" s="20">
        <v>873.93</v>
      </c>
      <c r="F43" s="79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4">
        <v>38</v>
      </c>
      <c r="B56" s="76" t="s">
        <v>85</v>
      </c>
      <c r="C56" s="74">
        <v>76173743169</v>
      </c>
      <c r="D56" s="76" t="s">
        <v>83</v>
      </c>
      <c r="E56" s="16">
        <f>467</f>
        <v>467</v>
      </c>
      <c r="F56" s="76" t="s">
        <v>9</v>
      </c>
      <c r="G56" s="28" t="s">
        <v>80</v>
      </c>
    </row>
    <row r="57" spans="1:7" ht="12.75" thickBot="1" x14ac:dyDescent="0.25">
      <c r="A57" s="75"/>
      <c r="B57" s="77"/>
      <c r="C57" s="75"/>
      <c r="D57" s="77"/>
      <c r="E57" s="18">
        <v>33.18</v>
      </c>
      <c r="F57" s="77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4">
        <v>40</v>
      </c>
      <c r="B59" s="76" t="s">
        <v>91</v>
      </c>
      <c r="C59" s="74">
        <v>34976993601</v>
      </c>
      <c r="D59" s="76" t="s">
        <v>92</v>
      </c>
      <c r="E59" s="16">
        <v>512.29999999999995</v>
      </c>
      <c r="F59" s="76" t="s">
        <v>9</v>
      </c>
      <c r="G59" s="28" t="s">
        <v>90</v>
      </c>
    </row>
    <row r="60" spans="1:7" ht="12.75" thickBot="1" x14ac:dyDescent="0.25">
      <c r="A60" s="75"/>
      <c r="B60" s="77"/>
      <c r="C60" s="75"/>
      <c r="D60" s="77"/>
      <c r="E60" s="18">
        <f>480.05+74.74</f>
        <v>554.79</v>
      </c>
      <c r="F60" s="77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4">
        <v>74</v>
      </c>
      <c r="B94" s="76" t="s">
        <v>127</v>
      </c>
      <c r="C94" s="74">
        <v>87682591133</v>
      </c>
      <c r="D94" s="76" t="s">
        <v>164</v>
      </c>
      <c r="E94" s="16">
        <f>7467.63+1499.18+369.6</f>
        <v>9336.41</v>
      </c>
      <c r="F94" s="76" t="s">
        <v>9</v>
      </c>
      <c r="G94" s="28" t="s">
        <v>21</v>
      </c>
      <c r="I94" s="13"/>
    </row>
    <row r="95" spans="1:9" ht="12.75" thickBot="1" x14ac:dyDescent="0.25">
      <c r="A95" s="75"/>
      <c r="B95" s="77"/>
      <c r="C95" s="75"/>
      <c r="D95" s="77"/>
      <c r="E95" s="18">
        <v>5162.93</v>
      </c>
      <c r="F95" s="77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4">
        <v>90</v>
      </c>
      <c r="B111" s="76" t="s">
        <v>143</v>
      </c>
      <c r="C111" s="74">
        <v>34421776805</v>
      </c>
      <c r="D111" s="76" t="s">
        <v>175</v>
      </c>
      <c r="E111" s="16">
        <f>785.03+12.7+97.5</f>
        <v>895.23</v>
      </c>
      <c r="F111" s="76" t="s">
        <v>9</v>
      </c>
      <c r="G111" s="28" t="s">
        <v>144</v>
      </c>
    </row>
    <row r="112" spans="1:7" ht="12.75" thickBot="1" x14ac:dyDescent="0.25">
      <c r="A112" s="75"/>
      <c r="B112" s="77"/>
      <c r="C112" s="75"/>
      <c r="D112" s="77"/>
      <c r="E112" s="18">
        <f>658.49+808.59+731.95</f>
        <v>2199.0299999999997</v>
      </c>
      <c r="F112" s="77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4">
        <v>97</v>
      </c>
      <c r="B119" s="76" t="s">
        <v>182</v>
      </c>
      <c r="C119" s="74">
        <v>47428597158</v>
      </c>
      <c r="D119" s="76" t="s">
        <v>184</v>
      </c>
      <c r="E119" s="16">
        <f>2575+4575</f>
        <v>7150</v>
      </c>
      <c r="F119" s="76" t="s">
        <v>9</v>
      </c>
      <c r="G119" s="28" t="s">
        <v>21</v>
      </c>
      <c r="I119" s="13"/>
    </row>
    <row r="120" spans="1:9" ht="12.75" thickBot="1" x14ac:dyDescent="0.25">
      <c r="A120" s="75"/>
      <c r="B120" s="77"/>
      <c r="C120" s="75"/>
      <c r="D120" s="77"/>
      <c r="E120" s="18">
        <v>757.15</v>
      </c>
      <c r="F120" s="77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4">
        <v>123</v>
      </c>
      <c r="B146" s="76" t="s">
        <v>213</v>
      </c>
      <c r="C146" s="74">
        <v>65952859647</v>
      </c>
      <c r="D146" s="76" t="s">
        <v>214</v>
      </c>
      <c r="E146" s="16">
        <v>250</v>
      </c>
      <c r="F146" s="76" t="s">
        <v>9</v>
      </c>
      <c r="G146" s="28" t="s">
        <v>901</v>
      </c>
    </row>
    <row r="147" spans="1:7" ht="12.75" thickBot="1" x14ac:dyDescent="0.25">
      <c r="A147" s="75"/>
      <c r="B147" s="77"/>
      <c r="C147" s="75"/>
      <c r="D147" s="77"/>
      <c r="E147" s="18">
        <f>5250+33707.5+1360+20000</f>
        <v>60317.5</v>
      </c>
      <c r="F147" s="77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4">
        <v>130</v>
      </c>
      <c r="B154" s="76" t="s">
        <v>226</v>
      </c>
      <c r="C154" s="90" t="s">
        <v>228</v>
      </c>
      <c r="D154" s="76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5"/>
      <c r="B155" s="77"/>
      <c r="C155" s="91"/>
      <c r="D155" s="77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4">
        <v>149</v>
      </c>
      <c r="B174" s="76" t="s">
        <v>279</v>
      </c>
      <c r="C174" s="74">
        <v>37879152548</v>
      </c>
      <c r="D174" s="76" t="s">
        <v>280</v>
      </c>
      <c r="E174" s="16">
        <f>577.5+1278.74</f>
        <v>1856.24</v>
      </c>
      <c r="F174" s="76" t="s">
        <v>9</v>
      </c>
      <c r="G174" s="28" t="s">
        <v>21</v>
      </c>
    </row>
    <row r="175" spans="1:10" ht="12.75" thickBot="1" x14ac:dyDescent="0.25">
      <c r="A175" s="75"/>
      <c r="B175" s="77"/>
      <c r="C175" s="75"/>
      <c r="D175" s="77"/>
      <c r="E175" s="18">
        <v>2250.0700000000002</v>
      </c>
      <c r="F175" s="77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A59:A60"/>
    <mergeCell ref="B59:B60"/>
    <mergeCell ref="C59:C60"/>
    <mergeCell ref="D59:D60"/>
    <mergeCell ref="F59:F60"/>
    <mergeCell ref="A94:A95"/>
    <mergeCell ref="B94:B95"/>
    <mergeCell ref="C94:C95"/>
    <mergeCell ref="D94:D95"/>
    <mergeCell ref="F94:F95"/>
    <mergeCell ref="A42:A43"/>
    <mergeCell ref="B42:B43"/>
    <mergeCell ref="C42:C43"/>
    <mergeCell ref="D42:D43"/>
    <mergeCell ref="F42:F43"/>
    <mergeCell ref="A56:A57"/>
    <mergeCell ref="B56:B57"/>
    <mergeCell ref="C56:C57"/>
    <mergeCell ref="D56:D57"/>
    <mergeCell ref="F56:F57"/>
    <mergeCell ref="A34:A38"/>
    <mergeCell ref="B34:B38"/>
    <mergeCell ref="C34:C38"/>
    <mergeCell ref="D34:D38"/>
    <mergeCell ref="F34:F38"/>
    <mergeCell ref="A40:A41"/>
    <mergeCell ref="B40:B41"/>
    <mergeCell ref="C40:C41"/>
    <mergeCell ref="D40:D41"/>
    <mergeCell ref="F40:F41"/>
    <mergeCell ref="A6:B6"/>
    <mergeCell ref="A7:B7"/>
    <mergeCell ref="C8:F8"/>
    <mergeCell ref="A29:A31"/>
    <mergeCell ref="B29:B31"/>
    <mergeCell ref="C29:C31"/>
    <mergeCell ref="D29:D31"/>
    <mergeCell ref="F29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919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4">
        <v>15</v>
      </c>
      <c r="B25" s="76" t="s">
        <v>40</v>
      </c>
      <c r="C25" s="74">
        <v>23308926345</v>
      </c>
      <c r="D25" s="76" t="s">
        <v>53</v>
      </c>
      <c r="E25" s="16">
        <f>207.31</f>
        <v>207.31</v>
      </c>
      <c r="F25" s="76" t="s">
        <v>9</v>
      </c>
      <c r="G25" s="28" t="s">
        <v>39</v>
      </c>
    </row>
    <row r="26" spans="1:7" ht="15.75" thickBot="1" x14ac:dyDescent="0.3">
      <c r="A26" s="75"/>
      <c r="B26" s="77"/>
      <c r="C26" s="75"/>
      <c r="D26" s="77"/>
      <c r="E26" s="18">
        <v>1331.08</v>
      </c>
      <c r="F26" s="77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4">
        <v>19</v>
      </c>
      <c r="B30" s="76" t="s">
        <v>43</v>
      </c>
      <c r="C30" s="74">
        <v>39901919995</v>
      </c>
      <c r="D30" s="76" t="s">
        <v>51</v>
      </c>
      <c r="E30" s="16">
        <v>30853.49</v>
      </c>
      <c r="F30" s="76" t="s">
        <v>9</v>
      </c>
      <c r="G30" s="28" t="s">
        <v>926</v>
      </c>
    </row>
    <row r="31" spans="1:7" x14ac:dyDescent="0.25">
      <c r="A31" s="80"/>
      <c r="B31" s="79"/>
      <c r="C31" s="80"/>
      <c r="D31" s="79"/>
      <c r="E31" s="17">
        <v>8142.69</v>
      </c>
      <c r="F31" s="79"/>
      <c r="G31" s="31" t="s">
        <v>927</v>
      </c>
    </row>
    <row r="32" spans="1:7" ht="15.75" thickBot="1" x14ac:dyDescent="0.3">
      <c r="A32" s="80"/>
      <c r="B32" s="79"/>
      <c r="C32" s="80"/>
      <c r="D32" s="79"/>
      <c r="E32" s="8">
        <v>10000</v>
      </c>
      <c r="F32" s="79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4">
        <v>21</v>
      </c>
      <c r="B34" s="76" t="s">
        <v>55</v>
      </c>
      <c r="C34" s="74">
        <v>11471889269</v>
      </c>
      <c r="D34" s="76" t="s">
        <v>56</v>
      </c>
      <c r="E34" s="16">
        <v>6970.65</v>
      </c>
      <c r="F34" s="76" t="s">
        <v>9</v>
      </c>
      <c r="G34" s="28" t="s">
        <v>41</v>
      </c>
    </row>
    <row r="35" spans="1:7" ht="15.75" thickBot="1" x14ac:dyDescent="0.3">
      <c r="A35" s="75"/>
      <c r="B35" s="77"/>
      <c r="C35" s="75"/>
      <c r="D35" s="77"/>
      <c r="E35" s="18">
        <f>17292.84+8368.73+789.11</f>
        <v>26450.68</v>
      </c>
      <c r="F35" s="77"/>
      <c r="G35" s="29" t="s">
        <v>21</v>
      </c>
    </row>
    <row r="36" spans="1:7" x14ac:dyDescent="0.25">
      <c r="A36" s="74">
        <v>22</v>
      </c>
      <c r="B36" s="76" t="s">
        <v>57</v>
      </c>
      <c r="C36" s="74">
        <v>27759560625</v>
      </c>
      <c r="D36" s="76" t="s">
        <v>59</v>
      </c>
      <c r="E36" s="16">
        <v>5107.8500000000004</v>
      </c>
      <c r="F36" s="76" t="s">
        <v>9</v>
      </c>
      <c r="G36" s="28" t="s">
        <v>58</v>
      </c>
    </row>
    <row r="37" spans="1:7" ht="15.75" thickBot="1" x14ac:dyDescent="0.3">
      <c r="A37" s="80"/>
      <c r="B37" s="79"/>
      <c r="C37" s="80"/>
      <c r="D37" s="79"/>
      <c r="E37" s="15">
        <f>9072.31+964.09+884.8</f>
        <v>10921.199999999999</v>
      </c>
      <c r="F37" s="79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4">
        <v>37</v>
      </c>
      <c r="B52" s="76" t="s">
        <v>91</v>
      </c>
      <c r="C52" s="74">
        <v>34976993601</v>
      </c>
      <c r="D52" s="76" t="s">
        <v>92</v>
      </c>
      <c r="E52" s="16">
        <f>236.12+204.39</f>
        <v>440.51</v>
      </c>
      <c r="F52" s="76" t="s">
        <v>9</v>
      </c>
      <c r="G52" s="28" t="s">
        <v>90</v>
      </c>
    </row>
    <row r="53" spans="1:7" ht="15.75" thickBot="1" x14ac:dyDescent="0.3">
      <c r="A53" s="75"/>
      <c r="B53" s="77"/>
      <c r="C53" s="75"/>
      <c r="D53" s="77"/>
      <c r="E53" s="18">
        <f>126.09+197.15+74.66</f>
        <v>397.9</v>
      </c>
      <c r="F53" s="77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4">
        <v>90</v>
      </c>
      <c r="B106" s="76" t="s">
        <v>525</v>
      </c>
      <c r="C106" s="74">
        <v>66402309304</v>
      </c>
      <c r="D106" s="76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5"/>
      <c r="B107" s="77"/>
      <c r="C107" s="75"/>
      <c r="D107" s="77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4">
        <v>132</v>
      </c>
      <c r="B149" s="76" t="s">
        <v>354</v>
      </c>
      <c r="C149" s="74">
        <v>79378753915</v>
      </c>
      <c r="D149" s="76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5"/>
      <c r="B150" s="77"/>
      <c r="C150" s="75"/>
      <c r="D150" s="77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4">
        <v>159</v>
      </c>
      <c r="B177" s="76" t="s">
        <v>182</v>
      </c>
      <c r="C177" s="74">
        <v>47428597158</v>
      </c>
      <c r="D177" s="76" t="s">
        <v>184</v>
      </c>
      <c r="E177" s="16">
        <f>991.69+1000</f>
        <v>1991.69</v>
      </c>
      <c r="F177" s="76" t="s">
        <v>9</v>
      </c>
      <c r="G177" s="28" t="s">
        <v>21</v>
      </c>
    </row>
    <row r="178" spans="1:7" ht="15.75" thickBot="1" x14ac:dyDescent="0.3">
      <c r="A178" s="75"/>
      <c r="B178" s="77"/>
      <c r="C178" s="75"/>
      <c r="D178" s="77"/>
      <c r="E178" s="18">
        <v>1000</v>
      </c>
      <c r="F178" s="77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6:B6"/>
    <mergeCell ref="A7:B7"/>
    <mergeCell ref="C8:F8"/>
    <mergeCell ref="A25:A26"/>
    <mergeCell ref="B25:B26"/>
    <mergeCell ref="C25:C26"/>
    <mergeCell ref="D25:D26"/>
    <mergeCell ref="F25:F26"/>
    <mergeCell ref="A34:A35"/>
    <mergeCell ref="B34:B35"/>
    <mergeCell ref="C34:C35"/>
    <mergeCell ref="D34:D35"/>
    <mergeCell ref="F34:F35"/>
    <mergeCell ref="A30:A32"/>
    <mergeCell ref="B30:B32"/>
    <mergeCell ref="C30:C32"/>
    <mergeCell ref="D30:D32"/>
    <mergeCell ref="F30:F32"/>
    <mergeCell ref="A52:A53"/>
    <mergeCell ref="B52:B53"/>
    <mergeCell ref="C52:C53"/>
    <mergeCell ref="D52:D53"/>
    <mergeCell ref="F52:F53"/>
    <mergeCell ref="A36:A37"/>
    <mergeCell ref="B36:B37"/>
    <mergeCell ref="C36:C37"/>
    <mergeCell ref="D36:D37"/>
    <mergeCell ref="F36:F37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177:A178"/>
    <mergeCell ref="B177:B178"/>
    <mergeCell ref="C177:C178"/>
    <mergeCell ref="D177:D178"/>
    <mergeCell ref="F177:F17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1055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4">
        <v>24</v>
      </c>
      <c r="B34" s="76" t="s">
        <v>55</v>
      </c>
      <c r="C34" s="74">
        <v>11471889269</v>
      </c>
      <c r="D34" s="76" t="s">
        <v>56</v>
      </c>
      <c r="E34" s="16">
        <v>6667.61</v>
      </c>
      <c r="F34" s="76" t="s">
        <v>9</v>
      </c>
      <c r="G34" s="28" t="s">
        <v>41</v>
      </c>
    </row>
    <row r="35" spans="1:7" ht="12.75" thickBot="1" x14ac:dyDescent="0.25">
      <c r="A35" s="75"/>
      <c r="B35" s="77"/>
      <c r="C35" s="75"/>
      <c r="D35" s="77"/>
      <c r="E35" s="18">
        <f>10608.62+6190.9+8499.16+30000</f>
        <v>55298.68</v>
      </c>
      <c r="F35" s="77"/>
      <c r="G35" s="29" t="s">
        <v>21</v>
      </c>
    </row>
    <row r="36" spans="1:7" x14ac:dyDescent="0.2">
      <c r="A36" s="74">
        <v>25</v>
      </c>
      <c r="B36" s="76" t="s">
        <v>57</v>
      </c>
      <c r="C36" s="74">
        <v>27759560625</v>
      </c>
      <c r="D36" s="76" t="s">
        <v>59</v>
      </c>
      <c r="E36" s="16">
        <v>4808.1899999999996</v>
      </c>
      <c r="F36" s="76" t="s">
        <v>9</v>
      </c>
      <c r="G36" s="28" t="s">
        <v>58</v>
      </c>
    </row>
    <row r="37" spans="1:7" ht="12.75" thickBot="1" x14ac:dyDescent="0.25">
      <c r="A37" s="80"/>
      <c r="B37" s="79"/>
      <c r="C37" s="80"/>
      <c r="D37" s="79"/>
      <c r="E37" s="15">
        <v>941.43</v>
      </c>
      <c r="F37" s="79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4">
        <v>42</v>
      </c>
      <c r="B54" s="76" t="s">
        <v>91</v>
      </c>
      <c r="C54" s="74">
        <v>34976993601</v>
      </c>
      <c r="D54" s="76" t="s">
        <v>92</v>
      </c>
      <c r="E54" s="16">
        <f>145.65+398.93</f>
        <v>544.58000000000004</v>
      </c>
      <c r="F54" s="76" t="s">
        <v>9</v>
      </c>
      <c r="G54" s="28" t="s">
        <v>90</v>
      </c>
    </row>
    <row r="55" spans="1:9" ht="12.75" thickBot="1" x14ac:dyDescent="0.25">
      <c r="A55" s="75"/>
      <c r="B55" s="77"/>
      <c r="C55" s="75"/>
      <c r="D55" s="77"/>
      <c r="E55" s="18">
        <f>306.05+75.09+155.75</f>
        <v>536.89</v>
      </c>
      <c r="F55" s="77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4">
        <v>50</v>
      </c>
      <c r="B63" s="76" t="s">
        <v>114</v>
      </c>
      <c r="C63" s="74" t="s">
        <v>432</v>
      </c>
      <c r="D63" s="88" t="s">
        <v>432</v>
      </c>
      <c r="E63" s="16">
        <v>558.42999999999995</v>
      </c>
      <c r="F63" s="76" t="s">
        <v>9</v>
      </c>
      <c r="G63" s="28" t="s">
        <v>1062</v>
      </c>
      <c r="I63" s="13"/>
    </row>
    <row r="64" spans="1:9" ht="15" customHeight="1" x14ac:dyDescent="0.2">
      <c r="A64" s="80"/>
      <c r="B64" s="79"/>
      <c r="C64" s="80"/>
      <c r="D64" s="89"/>
      <c r="E64" s="8">
        <v>1940</v>
      </c>
      <c r="F64" s="79"/>
      <c r="G64" s="2" t="s">
        <v>115</v>
      </c>
      <c r="I64" s="13"/>
    </row>
    <row r="65" spans="1:9" ht="15.75" customHeight="1" thickBot="1" x14ac:dyDescent="0.25">
      <c r="A65" s="75"/>
      <c r="B65" s="77"/>
      <c r="C65" s="75"/>
      <c r="D65" s="92"/>
      <c r="E65" s="18">
        <v>94</v>
      </c>
      <c r="F65" s="77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3:A65"/>
    <mergeCell ref="B63:B65"/>
    <mergeCell ref="C63:C65"/>
    <mergeCell ref="D63:D65"/>
    <mergeCell ref="F63:F65"/>
    <mergeCell ref="A36:A37"/>
    <mergeCell ref="B36:B37"/>
    <mergeCell ref="C36:C37"/>
    <mergeCell ref="D36:D37"/>
    <mergeCell ref="F36:F37"/>
    <mergeCell ref="A54:A55"/>
    <mergeCell ref="B54:B55"/>
    <mergeCell ref="C54:C55"/>
    <mergeCell ref="D54:D55"/>
    <mergeCell ref="F54:F55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topLeftCell="A232"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1183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4">
        <v>19</v>
      </c>
      <c r="B29" s="76" t="s">
        <v>393</v>
      </c>
      <c r="C29" s="74">
        <v>66253945791</v>
      </c>
      <c r="D29" s="76" t="s">
        <v>50</v>
      </c>
      <c r="E29" s="16">
        <f>27258.8+26877.13</f>
        <v>54135.93</v>
      </c>
      <c r="F29" s="76" t="s">
        <v>9</v>
      </c>
      <c r="G29" s="28" t="s">
        <v>41</v>
      </c>
    </row>
    <row r="30" spans="1:8" ht="12.75" thickBot="1" x14ac:dyDescent="0.25">
      <c r="A30" s="75"/>
      <c r="B30" s="77"/>
      <c r="C30" s="75"/>
      <c r="D30" s="77"/>
      <c r="E30" s="66">
        <v>18080</v>
      </c>
      <c r="F30" s="77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4">
        <v>24</v>
      </c>
      <c r="B35" s="76" t="s">
        <v>55</v>
      </c>
      <c r="C35" s="74">
        <v>11471889269</v>
      </c>
      <c r="D35" s="76" t="s">
        <v>56</v>
      </c>
      <c r="E35" s="16">
        <f>4569.71+5749.84</f>
        <v>10319.549999999999</v>
      </c>
      <c r="F35" s="76" t="s">
        <v>9</v>
      </c>
      <c r="G35" s="28" t="s">
        <v>41</v>
      </c>
    </row>
    <row r="36" spans="1:7" ht="12.75" thickBot="1" x14ac:dyDescent="0.25">
      <c r="A36" s="75"/>
      <c r="B36" s="77"/>
      <c r="C36" s="75"/>
      <c r="D36" s="77"/>
      <c r="E36" s="18">
        <f>5000+30000+32851.38</f>
        <v>67851.38</v>
      </c>
      <c r="F36" s="77"/>
      <c r="G36" s="29" t="s">
        <v>21</v>
      </c>
    </row>
    <row r="37" spans="1:7" x14ac:dyDescent="0.2">
      <c r="A37" s="74">
        <v>25</v>
      </c>
      <c r="B37" s="76" t="s">
        <v>57</v>
      </c>
      <c r="C37" s="74">
        <v>27759560625</v>
      </c>
      <c r="D37" s="76" t="s">
        <v>59</v>
      </c>
      <c r="E37" s="16">
        <f>6203.65</f>
        <v>6203.65</v>
      </c>
      <c r="F37" s="76" t="s">
        <v>9</v>
      </c>
      <c r="G37" s="28" t="s">
        <v>58</v>
      </c>
    </row>
    <row r="38" spans="1:7" ht="12.75" thickBot="1" x14ac:dyDescent="0.25">
      <c r="A38" s="80"/>
      <c r="B38" s="79"/>
      <c r="C38" s="80"/>
      <c r="D38" s="79"/>
      <c r="E38" s="15">
        <f>845.05+1285.66+870.93</f>
        <v>3001.64</v>
      </c>
      <c r="F38" s="79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4">
        <v>38</v>
      </c>
      <c r="B51" s="76" t="s">
        <v>85</v>
      </c>
      <c r="C51" s="74">
        <v>76173743169</v>
      </c>
      <c r="D51" s="76" t="s">
        <v>83</v>
      </c>
      <c r="E51" s="16">
        <v>669.32</v>
      </c>
      <c r="F51" s="76" t="s">
        <v>9</v>
      </c>
      <c r="G51" s="28" t="s">
        <v>80</v>
      </c>
    </row>
    <row r="52" spans="1:9" ht="12.75" thickBot="1" x14ac:dyDescent="0.25">
      <c r="A52" s="75"/>
      <c r="B52" s="77"/>
      <c r="C52" s="75"/>
      <c r="D52" s="77"/>
      <c r="E52" s="18">
        <v>33.18</v>
      </c>
      <c r="F52" s="77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4">
        <v>40</v>
      </c>
      <c r="B54" s="76" t="s">
        <v>91</v>
      </c>
      <c r="C54" s="74">
        <v>34976993601</v>
      </c>
      <c r="D54" s="76" t="s">
        <v>92</v>
      </c>
      <c r="E54" s="16">
        <f>259.52+389.04</f>
        <v>648.55999999999995</v>
      </c>
      <c r="F54" s="76" t="s">
        <v>9</v>
      </c>
      <c r="G54" s="28" t="s">
        <v>90</v>
      </c>
    </row>
    <row r="55" spans="1:9" ht="12.75" thickBot="1" x14ac:dyDescent="0.25">
      <c r="A55" s="75"/>
      <c r="B55" s="77"/>
      <c r="C55" s="75"/>
      <c r="D55" s="77"/>
      <c r="E55" s="18">
        <f>631.83+183.75</f>
        <v>815.58</v>
      </c>
      <c r="F55" s="77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4">
        <v>55</v>
      </c>
      <c r="B70" s="76" t="s">
        <v>114</v>
      </c>
      <c r="C70" s="74" t="s">
        <v>432</v>
      </c>
      <c r="D70" s="76" t="s">
        <v>432</v>
      </c>
      <c r="E70" s="16">
        <v>1940</v>
      </c>
      <c r="F70" s="76" t="s">
        <v>9</v>
      </c>
      <c r="G70" s="28" t="s">
        <v>115</v>
      </c>
    </row>
    <row r="71" spans="1:9" ht="12.75" thickBot="1" x14ac:dyDescent="0.25">
      <c r="A71" s="75"/>
      <c r="B71" s="77"/>
      <c r="C71" s="75"/>
      <c r="D71" s="77"/>
      <c r="E71" s="18">
        <v>784.83</v>
      </c>
      <c r="F71" s="77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4">
        <v>101</v>
      </c>
      <c r="B117" s="76" t="s">
        <v>128</v>
      </c>
      <c r="C117" s="74">
        <v>19849957757</v>
      </c>
      <c r="D117" s="76" t="s">
        <v>166</v>
      </c>
      <c r="E117" s="16">
        <f>1936</f>
        <v>1936</v>
      </c>
      <c r="F117" s="76" t="s">
        <v>9</v>
      </c>
      <c r="G117" s="28" t="s">
        <v>21</v>
      </c>
    </row>
    <row r="118" spans="1:9" ht="12.75" thickBot="1" x14ac:dyDescent="0.25">
      <c r="A118" s="75"/>
      <c r="B118" s="77"/>
      <c r="C118" s="75"/>
      <c r="D118" s="77"/>
      <c r="E118" s="66">
        <v>3000</v>
      </c>
      <c r="F118" s="77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4">
        <v>133</v>
      </c>
      <c r="B150" s="76" t="s">
        <v>182</v>
      </c>
      <c r="C150" s="74">
        <v>47428597158</v>
      </c>
      <c r="D150" s="76" t="s">
        <v>184</v>
      </c>
      <c r="E150" s="16">
        <f>342.56+2683.8</f>
        <v>3026.36</v>
      </c>
      <c r="F150" s="76" t="s">
        <v>9</v>
      </c>
      <c r="G150" s="28" t="s">
        <v>1224</v>
      </c>
      <c r="I150" s="13"/>
    </row>
    <row r="151" spans="1:9" ht="12.75" thickBot="1" x14ac:dyDescent="0.25">
      <c r="A151" s="75"/>
      <c r="B151" s="77"/>
      <c r="C151" s="75"/>
      <c r="D151" s="77"/>
      <c r="E151" s="18">
        <f>1060+2547.41</f>
        <v>3607.41</v>
      </c>
      <c r="F151" s="77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4">
        <v>194</v>
      </c>
      <c r="B212" s="76" t="s">
        <v>269</v>
      </c>
      <c r="C212" s="74">
        <v>48249084626</v>
      </c>
      <c r="D212" s="76" t="s">
        <v>270</v>
      </c>
      <c r="E212" s="16">
        <f>1024.04+348.68+733.44+427.27+1756.63</f>
        <v>4290.0599999999995</v>
      </c>
      <c r="F212" s="76" t="s">
        <v>9</v>
      </c>
      <c r="G212" s="28" t="s">
        <v>116</v>
      </c>
    </row>
    <row r="213" spans="1:10" ht="12.75" thickBot="1" x14ac:dyDescent="0.25">
      <c r="A213" s="75"/>
      <c r="B213" s="77"/>
      <c r="C213" s="75"/>
      <c r="D213" s="77"/>
      <c r="E213" s="18">
        <f>2582.78+660.39</f>
        <v>3243.17</v>
      </c>
      <c r="F213" s="77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4">
        <v>197</v>
      </c>
      <c r="B216" s="76" t="s">
        <v>279</v>
      </c>
      <c r="C216" s="74">
        <v>37879152548</v>
      </c>
      <c r="D216" s="76" t="s">
        <v>280</v>
      </c>
      <c r="E216" s="16">
        <f>412.5+1889.91+625.33</f>
        <v>2927.74</v>
      </c>
      <c r="F216" s="76" t="s">
        <v>9</v>
      </c>
      <c r="G216" s="28" t="s">
        <v>21</v>
      </c>
    </row>
    <row r="217" spans="1:10" ht="12.75" thickBot="1" x14ac:dyDescent="0.25">
      <c r="A217" s="75"/>
      <c r="B217" s="77"/>
      <c r="C217" s="75"/>
      <c r="D217" s="77"/>
      <c r="E217" s="18">
        <v>1003.4</v>
      </c>
      <c r="F217" s="77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4">
        <v>214</v>
      </c>
      <c r="B234" s="76" t="s">
        <v>503</v>
      </c>
      <c r="C234" s="74">
        <v>27712717103</v>
      </c>
      <c r="D234" s="76" t="s">
        <v>504</v>
      </c>
      <c r="E234" s="16">
        <f>5855.63+5855.63</f>
        <v>11711.26</v>
      </c>
      <c r="F234" s="76" t="s">
        <v>9</v>
      </c>
      <c r="G234" s="28" t="s">
        <v>64</v>
      </c>
    </row>
    <row r="235" spans="1:7" ht="12.75" thickBot="1" x14ac:dyDescent="0.25">
      <c r="A235" s="75"/>
      <c r="B235" s="77"/>
      <c r="C235" s="75"/>
      <c r="D235" s="77"/>
      <c r="E235" s="18">
        <v>13621.88</v>
      </c>
      <c r="F235" s="77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37:A38"/>
    <mergeCell ref="B37:B38"/>
    <mergeCell ref="C37:C38"/>
    <mergeCell ref="D37:D38"/>
    <mergeCell ref="F37:F38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117:A118"/>
    <mergeCell ref="B117:B118"/>
    <mergeCell ref="C117:C118"/>
    <mergeCell ref="D117:D118"/>
    <mergeCell ref="F117:F118"/>
    <mergeCell ref="A70:A71"/>
    <mergeCell ref="B70:B71"/>
    <mergeCell ref="C70:C71"/>
    <mergeCell ref="D70:D71"/>
    <mergeCell ref="F70:F71"/>
    <mergeCell ref="A212:A213"/>
    <mergeCell ref="B212:B213"/>
    <mergeCell ref="C212:C213"/>
    <mergeCell ref="D212:D213"/>
    <mergeCell ref="F212:F213"/>
    <mergeCell ref="A150:A151"/>
    <mergeCell ref="B150:B151"/>
    <mergeCell ref="C150:C151"/>
    <mergeCell ref="D150:D151"/>
    <mergeCell ref="F150:F151"/>
    <mergeCell ref="A234:A235"/>
    <mergeCell ref="B234:B235"/>
    <mergeCell ref="C234:C235"/>
    <mergeCell ref="D234:D235"/>
    <mergeCell ref="F234:F235"/>
    <mergeCell ref="A216:A217"/>
    <mergeCell ref="B216:B217"/>
    <mergeCell ref="C216:C217"/>
    <mergeCell ref="D216:D217"/>
    <mergeCell ref="F216:F2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1271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4">
        <v>19</v>
      </c>
      <c r="B29" s="76" t="s">
        <v>393</v>
      </c>
      <c r="C29" s="74">
        <v>66253945791</v>
      </c>
      <c r="D29" s="76" t="s">
        <v>50</v>
      </c>
      <c r="E29" s="16">
        <f>15920.2+100000+312230.97</f>
        <v>428151.17</v>
      </c>
      <c r="F29" s="76" t="s">
        <v>9</v>
      </c>
      <c r="G29" s="28" t="s">
        <v>41</v>
      </c>
    </row>
    <row r="30" spans="1:7" ht="15.75" thickBot="1" x14ac:dyDescent="0.3">
      <c r="A30" s="75"/>
      <c r="B30" s="77"/>
      <c r="C30" s="75"/>
      <c r="D30" s="77"/>
      <c r="E30" s="66">
        <f>1723.6+15223.6</f>
        <v>16947.2</v>
      </c>
      <c r="F30" s="77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4">
        <v>24</v>
      </c>
      <c r="B35" s="76" t="s">
        <v>55</v>
      </c>
      <c r="C35" s="74">
        <v>11471889269</v>
      </c>
      <c r="D35" s="76" t="s">
        <v>56</v>
      </c>
      <c r="E35" s="16">
        <v>7195.51</v>
      </c>
      <c r="F35" s="76" t="s">
        <v>9</v>
      </c>
      <c r="G35" s="28" t="s">
        <v>41</v>
      </c>
    </row>
    <row r="36" spans="1:7" ht="15.75" thickBot="1" x14ac:dyDescent="0.3">
      <c r="A36" s="75"/>
      <c r="B36" s="77"/>
      <c r="C36" s="75"/>
      <c r="D36" s="77"/>
      <c r="E36" s="18">
        <v>56058.03</v>
      </c>
      <c r="F36" s="77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4">
        <v>37</v>
      </c>
      <c r="B49" s="76" t="s">
        <v>81</v>
      </c>
      <c r="C49" s="74">
        <v>32179081874</v>
      </c>
      <c r="D49" s="76" t="s">
        <v>82</v>
      </c>
      <c r="E49" s="67">
        <f>91.96</f>
        <v>91.96</v>
      </c>
      <c r="F49" s="76" t="s">
        <v>9</v>
      </c>
      <c r="G49" s="68" t="s">
        <v>80</v>
      </c>
    </row>
    <row r="50" spans="1:7" ht="15.75" thickBot="1" x14ac:dyDescent="0.3">
      <c r="A50" s="75"/>
      <c r="B50" s="77"/>
      <c r="C50" s="75"/>
      <c r="D50" s="77"/>
      <c r="E50" s="18">
        <f>30.06+568.75+549.22</f>
        <v>1148.03</v>
      </c>
      <c r="F50" s="77"/>
      <c r="G50" s="29" t="s">
        <v>21</v>
      </c>
    </row>
    <row r="51" spans="1:7" x14ac:dyDescent="0.25">
      <c r="A51" s="74">
        <v>38</v>
      </c>
      <c r="B51" s="76" t="s">
        <v>85</v>
      </c>
      <c r="C51" s="74">
        <v>76173743169</v>
      </c>
      <c r="D51" s="76" t="s">
        <v>83</v>
      </c>
      <c r="E51" s="16">
        <v>920.4</v>
      </c>
      <c r="F51" s="76" t="s">
        <v>9</v>
      </c>
      <c r="G51" s="28" t="s">
        <v>80</v>
      </c>
    </row>
    <row r="52" spans="1:7" ht="15.75" thickBot="1" x14ac:dyDescent="0.3">
      <c r="A52" s="75"/>
      <c r="B52" s="77"/>
      <c r="C52" s="75"/>
      <c r="D52" s="77"/>
      <c r="E52" s="66">
        <v>33.18</v>
      </c>
      <c r="F52" s="77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4">
        <v>40</v>
      </c>
      <c r="B54" s="76" t="s">
        <v>91</v>
      </c>
      <c r="C54" s="74">
        <v>34976993601</v>
      </c>
      <c r="D54" s="76" t="s">
        <v>92</v>
      </c>
      <c r="E54" s="16">
        <f>278.38+80.04</f>
        <v>358.42</v>
      </c>
      <c r="F54" s="76" t="s">
        <v>9</v>
      </c>
      <c r="G54" s="28" t="s">
        <v>90</v>
      </c>
    </row>
    <row r="55" spans="1:7" ht="15.75" thickBot="1" x14ac:dyDescent="0.3">
      <c r="A55" s="75"/>
      <c r="B55" s="77"/>
      <c r="C55" s="75"/>
      <c r="D55" s="77"/>
      <c r="E55" s="18">
        <f>403.88+121.39</f>
        <v>525.27</v>
      </c>
      <c r="F55" s="77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4">
        <v>56</v>
      </c>
      <c r="B71" s="76" t="s">
        <v>114</v>
      </c>
      <c r="C71" s="74" t="s">
        <v>432</v>
      </c>
      <c r="D71" s="76" t="s">
        <v>432</v>
      </c>
      <c r="E71" s="16">
        <v>1940</v>
      </c>
      <c r="F71" s="88" t="s">
        <v>9</v>
      </c>
      <c r="G71" s="28" t="s">
        <v>115</v>
      </c>
    </row>
    <row r="72" spans="1:7" ht="15.75" thickBot="1" x14ac:dyDescent="0.3">
      <c r="A72" s="75"/>
      <c r="B72" s="77"/>
      <c r="C72" s="75"/>
      <c r="D72" s="77"/>
      <c r="E72" s="18">
        <v>8910.1200000000008</v>
      </c>
      <c r="F72" s="92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4">
        <v>74</v>
      </c>
      <c r="B90" s="76" t="s">
        <v>43</v>
      </c>
      <c r="C90" s="74">
        <v>39901919995</v>
      </c>
      <c r="D90" s="76" t="s">
        <v>51</v>
      </c>
      <c r="E90" s="16">
        <f>19453.48+42208.39</f>
        <v>61661.869999999995</v>
      </c>
      <c r="F90" s="76" t="s">
        <v>9</v>
      </c>
      <c r="G90" s="28" t="s">
        <v>46</v>
      </c>
    </row>
    <row r="91" spans="1:7" ht="15.75" thickBot="1" x14ac:dyDescent="0.3">
      <c r="A91" s="75"/>
      <c r="B91" s="77"/>
      <c r="C91" s="75"/>
      <c r="D91" s="77"/>
      <c r="E91" s="18">
        <v>21218.78</v>
      </c>
      <c r="F91" s="77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4">
        <v>92</v>
      </c>
      <c r="B109" s="76" t="s">
        <v>182</v>
      </c>
      <c r="C109" s="74">
        <v>47428597158</v>
      </c>
      <c r="D109" s="76" t="s">
        <v>184</v>
      </c>
      <c r="E109" s="16">
        <v>4110</v>
      </c>
      <c r="F109" s="76" t="s">
        <v>9</v>
      </c>
      <c r="G109" s="28" t="s">
        <v>21</v>
      </c>
    </row>
    <row r="110" spans="1:7" ht="15.75" thickBot="1" x14ac:dyDescent="0.3">
      <c r="A110" s="75"/>
      <c r="B110" s="77"/>
      <c r="C110" s="75"/>
      <c r="D110" s="77"/>
      <c r="E110" s="18">
        <f>406.11</f>
        <v>406.11</v>
      </c>
      <c r="F110" s="77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4">
        <v>103</v>
      </c>
      <c r="B121" s="76" t="s">
        <v>503</v>
      </c>
      <c r="C121" s="74">
        <v>27712717103</v>
      </c>
      <c r="D121" s="76" t="s">
        <v>504</v>
      </c>
      <c r="E121" s="16">
        <v>30000</v>
      </c>
      <c r="F121" s="76" t="s">
        <v>9</v>
      </c>
      <c r="G121" s="28" t="s">
        <v>116</v>
      </c>
    </row>
    <row r="122" spans="1:7" ht="15.75" thickBot="1" x14ac:dyDescent="0.3">
      <c r="A122" s="75"/>
      <c r="B122" s="77"/>
      <c r="C122" s="75"/>
      <c r="D122" s="77"/>
      <c r="E122" s="18">
        <v>5855.63</v>
      </c>
      <c r="F122" s="77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4">
        <v>110</v>
      </c>
      <c r="B129" s="76" t="s">
        <v>213</v>
      </c>
      <c r="C129" s="74">
        <v>65952859647</v>
      </c>
      <c r="D129" s="76" t="s">
        <v>214</v>
      </c>
      <c r="E129" s="16">
        <v>9727.5</v>
      </c>
      <c r="F129" s="76" t="s">
        <v>9</v>
      </c>
      <c r="G129" s="28" t="s">
        <v>901</v>
      </c>
    </row>
    <row r="130" spans="1:7" ht="15.75" thickBot="1" x14ac:dyDescent="0.3">
      <c r="A130" s="75"/>
      <c r="B130" s="77"/>
      <c r="C130" s="75"/>
      <c r="D130" s="77"/>
      <c r="E130" s="66">
        <v>33363.75</v>
      </c>
      <c r="F130" s="77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4">
        <v>182</v>
      </c>
      <c r="B202" s="76" t="s">
        <v>269</v>
      </c>
      <c r="C202" s="74">
        <v>48249084626</v>
      </c>
      <c r="D202" s="76" t="s">
        <v>270</v>
      </c>
      <c r="E202" s="16">
        <f>215.88+690.08+1508.27</f>
        <v>2414.23</v>
      </c>
      <c r="F202" s="76" t="s">
        <v>9</v>
      </c>
      <c r="G202" s="28" t="s">
        <v>21</v>
      </c>
    </row>
    <row r="203" spans="1:7" ht="15.75" thickBot="1" x14ac:dyDescent="0.3">
      <c r="A203" s="75"/>
      <c r="B203" s="77"/>
      <c r="C203" s="75"/>
      <c r="D203" s="77"/>
      <c r="E203" s="18">
        <f>878.31+3957.66+422.79</f>
        <v>5258.7599999999993</v>
      </c>
      <c r="F203" s="77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129:A130"/>
    <mergeCell ref="B129:B130"/>
    <mergeCell ref="C129:C130"/>
    <mergeCell ref="D129:D130"/>
    <mergeCell ref="F129:F130"/>
    <mergeCell ref="A202:A203"/>
    <mergeCell ref="B202:B203"/>
    <mergeCell ref="C202:C203"/>
    <mergeCell ref="D202:D203"/>
    <mergeCell ref="F202:F203"/>
    <mergeCell ref="A109:A110"/>
    <mergeCell ref="B109:B110"/>
    <mergeCell ref="C109:C110"/>
    <mergeCell ref="D109:D110"/>
    <mergeCell ref="F109:F110"/>
    <mergeCell ref="A121:A122"/>
    <mergeCell ref="B121:B122"/>
    <mergeCell ref="C121:C122"/>
    <mergeCell ref="D121:D122"/>
    <mergeCell ref="F121:F122"/>
    <mergeCell ref="A71:A72"/>
    <mergeCell ref="B71:B72"/>
    <mergeCell ref="C71:C72"/>
    <mergeCell ref="D71:D72"/>
    <mergeCell ref="F71:F72"/>
    <mergeCell ref="A90:A91"/>
    <mergeCell ref="B90:B91"/>
    <mergeCell ref="C90:C91"/>
    <mergeCell ref="D90:D91"/>
    <mergeCell ref="F90:F91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49:A50"/>
    <mergeCell ref="B49:B50"/>
    <mergeCell ref="C49:C50"/>
    <mergeCell ref="D49:D50"/>
    <mergeCell ref="F49:F50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opLeftCell="A256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1360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4">
        <v>20</v>
      </c>
      <c r="B30" s="76" t="s">
        <v>393</v>
      </c>
      <c r="C30" s="74">
        <v>66253945791</v>
      </c>
      <c r="D30" s="76" t="s">
        <v>50</v>
      </c>
      <c r="E30" s="16">
        <v>215352.56</v>
      </c>
      <c r="F30" s="76" t="s">
        <v>9</v>
      </c>
      <c r="G30" s="28" t="s">
        <v>41</v>
      </c>
    </row>
    <row r="31" spans="1:7" ht="15.75" thickBot="1" x14ac:dyDescent="0.3">
      <c r="A31" s="75"/>
      <c r="B31" s="77"/>
      <c r="C31" s="75"/>
      <c r="D31" s="77"/>
      <c r="E31" s="66">
        <v>9940.2999999999993</v>
      </c>
      <c r="F31" s="77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4">
        <v>25</v>
      </c>
      <c r="B36" s="76" t="s">
        <v>55</v>
      </c>
      <c r="C36" s="74">
        <v>11471889269</v>
      </c>
      <c r="D36" s="76" t="s">
        <v>56</v>
      </c>
      <c r="E36" s="16">
        <f>6333.16+5799.22</f>
        <v>12132.380000000001</v>
      </c>
      <c r="F36" s="76" t="s">
        <v>9</v>
      </c>
      <c r="G36" s="28" t="s">
        <v>41</v>
      </c>
    </row>
    <row r="37" spans="1:7" ht="15.75" thickBot="1" x14ac:dyDescent="0.3">
      <c r="A37" s="80"/>
      <c r="B37" s="79"/>
      <c r="C37" s="80"/>
      <c r="D37" s="79"/>
      <c r="E37" s="15">
        <f>28847.87+30693.5</f>
        <v>59541.369999999995</v>
      </c>
      <c r="F37" s="79"/>
      <c r="G37" s="26" t="s">
        <v>21</v>
      </c>
    </row>
    <row r="38" spans="1:7" x14ac:dyDescent="0.25">
      <c r="A38" s="74">
        <v>26</v>
      </c>
      <c r="B38" s="76" t="s">
        <v>57</v>
      </c>
      <c r="C38" s="74">
        <v>27759560625</v>
      </c>
      <c r="D38" s="76" t="s">
        <v>59</v>
      </c>
      <c r="E38" s="16">
        <v>5696.74</v>
      </c>
      <c r="F38" s="76" t="s">
        <v>9</v>
      </c>
      <c r="G38" s="28" t="s">
        <v>58</v>
      </c>
    </row>
    <row r="39" spans="1:7" ht="15.75" thickBot="1" x14ac:dyDescent="0.3">
      <c r="A39" s="75"/>
      <c r="B39" s="77"/>
      <c r="C39" s="75"/>
      <c r="D39" s="77"/>
      <c r="E39" s="66">
        <v>758.21</v>
      </c>
      <c r="F39" s="77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4">
        <v>35</v>
      </c>
      <c r="B48" s="76" t="s">
        <v>85</v>
      </c>
      <c r="C48" s="74">
        <v>76173743169</v>
      </c>
      <c r="D48" s="76" t="s">
        <v>83</v>
      </c>
      <c r="E48" s="16">
        <v>765.55</v>
      </c>
      <c r="F48" s="76" t="s">
        <v>9</v>
      </c>
      <c r="G48" s="28" t="s">
        <v>80</v>
      </c>
    </row>
    <row r="49" spans="1:7" ht="15.75" thickBot="1" x14ac:dyDescent="0.3">
      <c r="A49" s="75"/>
      <c r="B49" s="77"/>
      <c r="C49" s="75"/>
      <c r="D49" s="77"/>
      <c r="E49" s="18">
        <v>53.18</v>
      </c>
      <c r="F49" s="77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4">
        <v>37</v>
      </c>
      <c r="B51" s="76" t="s">
        <v>91</v>
      </c>
      <c r="C51" s="74">
        <v>34976993601</v>
      </c>
      <c r="D51" s="76" t="s">
        <v>92</v>
      </c>
      <c r="E51" s="16">
        <f>268.48+122.5</f>
        <v>390.98</v>
      </c>
      <c r="F51" s="76" t="s">
        <v>9</v>
      </c>
      <c r="G51" s="28" t="s">
        <v>90</v>
      </c>
    </row>
    <row r="52" spans="1:7" ht="15.75" thickBot="1" x14ac:dyDescent="0.3">
      <c r="A52" s="75"/>
      <c r="B52" s="77"/>
      <c r="C52" s="75"/>
      <c r="D52" s="77"/>
      <c r="E52" s="18">
        <f>394.95+212.1+122.5</f>
        <v>729.55</v>
      </c>
      <c r="F52" s="77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4">
        <v>79</v>
      </c>
      <c r="B94" s="76" t="s">
        <v>1373</v>
      </c>
      <c r="C94" s="74">
        <v>80653493587</v>
      </c>
      <c r="D94" s="76" t="s">
        <v>1374</v>
      </c>
      <c r="E94" s="16">
        <v>1155</v>
      </c>
      <c r="F94" s="76" t="s">
        <v>9</v>
      </c>
      <c r="G94" s="28" t="s">
        <v>21</v>
      </c>
    </row>
    <row r="95" spans="1:7" ht="15.75" thickBot="1" x14ac:dyDescent="0.3">
      <c r="A95" s="75"/>
      <c r="B95" s="77"/>
      <c r="C95" s="75"/>
      <c r="D95" s="77"/>
      <c r="E95" s="18">
        <v>443.52</v>
      </c>
      <c r="F95" s="77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4">
        <v>170</v>
      </c>
      <c r="B186" s="76" t="s">
        <v>182</v>
      </c>
      <c r="C186" s="74">
        <v>47428597158</v>
      </c>
      <c r="D186" s="76" t="s">
        <v>184</v>
      </c>
      <c r="E186" s="16">
        <v>817.51</v>
      </c>
      <c r="F186" s="76" t="s">
        <v>9</v>
      </c>
      <c r="G186" s="28" t="s">
        <v>1224</v>
      </c>
    </row>
    <row r="187" spans="1:7" ht="15.75" thickBot="1" x14ac:dyDescent="0.3">
      <c r="A187" s="75"/>
      <c r="B187" s="77"/>
      <c r="C187" s="75"/>
      <c r="D187" s="77"/>
      <c r="E187" s="18">
        <v>3406.19</v>
      </c>
      <c r="F187" s="77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4">
        <v>195</v>
      </c>
      <c r="B212" s="76" t="s">
        <v>269</v>
      </c>
      <c r="C212" s="74">
        <v>48249084626</v>
      </c>
      <c r="D212" s="76" t="s">
        <v>270</v>
      </c>
      <c r="E212" s="16">
        <f>49.8+438.41+1177.98+504.73</f>
        <v>2170.92</v>
      </c>
      <c r="F212" s="76" t="s">
        <v>9</v>
      </c>
      <c r="G212" s="28" t="s">
        <v>21</v>
      </c>
    </row>
    <row r="213" spans="1:7" ht="15.75" thickBot="1" x14ac:dyDescent="0.3">
      <c r="A213" s="75"/>
      <c r="B213" s="77"/>
      <c r="C213" s="75"/>
      <c r="D213" s="77"/>
      <c r="E213" s="18">
        <f>3262.72+617.33</f>
        <v>3880.0499999999997</v>
      </c>
      <c r="F213" s="77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4">
        <v>236</v>
      </c>
      <c r="B254" s="76" t="s">
        <v>43</v>
      </c>
      <c r="C254" s="74">
        <v>39901919995</v>
      </c>
      <c r="D254" s="76" t="s">
        <v>51</v>
      </c>
      <c r="E254" s="67">
        <v>20000</v>
      </c>
      <c r="F254" s="76" t="s">
        <v>9</v>
      </c>
      <c r="G254" s="28" t="s">
        <v>46</v>
      </c>
    </row>
    <row r="255" spans="1:7" x14ac:dyDescent="0.25">
      <c r="A255" s="80"/>
      <c r="B255" s="79"/>
      <c r="C255" s="80"/>
      <c r="D255" s="79"/>
      <c r="E255" s="8">
        <v>6466.25</v>
      </c>
      <c r="F255" s="79"/>
      <c r="G255" s="37" t="s">
        <v>195</v>
      </c>
    </row>
    <row r="256" spans="1:7" ht="15.75" thickBot="1" x14ac:dyDescent="0.3">
      <c r="A256" s="75"/>
      <c r="B256" s="77"/>
      <c r="C256" s="75"/>
      <c r="D256" s="77"/>
      <c r="E256" s="18">
        <v>4370.04</v>
      </c>
      <c r="F256" s="77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6:B6"/>
    <mergeCell ref="A7:B7"/>
    <mergeCell ref="C8:F8"/>
    <mergeCell ref="A30:A31"/>
    <mergeCell ref="B30:B31"/>
    <mergeCell ref="C30:C31"/>
    <mergeCell ref="D30:D31"/>
    <mergeCell ref="F30:F31"/>
    <mergeCell ref="A38:A39"/>
    <mergeCell ref="B38:B39"/>
    <mergeCell ref="C38:C39"/>
    <mergeCell ref="D38:D39"/>
    <mergeCell ref="F38:F39"/>
    <mergeCell ref="A36:A37"/>
    <mergeCell ref="B36:B37"/>
    <mergeCell ref="C36:C37"/>
    <mergeCell ref="D36:D37"/>
    <mergeCell ref="F36:F37"/>
    <mergeCell ref="A51:A52"/>
    <mergeCell ref="B51:B52"/>
    <mergeCell ref="C51:C52"/>
    <mergeCell ref="D51:D52"/>
    <mergeCell ref="F51:F52"/>
    <mergeCell ref="A48:A49"/>
    <mergeCell ref="B48:B49"/>
    <mergeCell ref="C48:C49"/>
    <mergeCell ref="D48:D49"/>
    <mergeCell ref="F48:F49"/>
    <mergeCell ref="A186:A187"/>
    <mergeCell ref="B186:B187"/>
    <mergeCell ref="C186:C187"/>
    <mergeCell ref="D186:D187"/>
    <mergeCell ref="F186:F187"/>
    <mergeCell ref="A94:A95"/>
    <mergeCell ref="B94:B95"/>
    <mergeCell ref="C94:C95"/>
    <mergeCell ref="D94:D95"/>
    <mergeCell ref="F94:F95"/>
    <mergeCell ref="A254:A256"/>
    <mergeCell ref="B254:B256"/>
    <mergeCell ref="C254:C256"/>
    <mergeCell ref="D254:D256"/>
    <mergeCell ref="F254:F256"/>
    <mergeCell ref="A212:A213"/>
    <mergeCell ref="B212:B213"/>
    <mergeCell ref="C212:C213"/>
    <mergeCell ref="D212:D213"/>
    <mergeCell ref="F212:F2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C4-F2D3-4260-99E0-CB45048C1CDD}">
  <dimension ref="A5:I171"/>
  <sheetViews>
    <sheetView topLeftCell="A151" workbookViewId="0">
      <selection activeCell="L11" sqref="L1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2" t="s">
        <v>7</v>
      </c>
      <c r="B6" s="82"/>
    </row>
    <row r="7" spans="1:7" x14ac:dyDescent="0.2">
      <c r="A7" s="82" t="s">
        <v>8</v>
      </c>
      <c r="B7" s="82"/>
    </row>
    <row r="8" spans="1:7" x14ac:dyDescent="0.2">
      <c r="A8" s="23"/>
      <c r="B8" s="6"/>
      <c r="C8" s="83" t="s">
        <v>1442</v>
      </c>
      <c r="D8" s="83"/>
      <c r="E8" s="83"/>
      <c r="F8" s="83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665.28+1855.11</f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15</v>
      </c>
      <c r="C12" s="11" t="s">
        <v>15</v>
      </c>
      <c r="D12" s="5" t="s">
        <v>15</v>
      </c>
      <c r="E12" s="8">
        <v>600</v>
      </c>
      <c r="F12" s="5" t="s">
        <v>9</v>
      </c>
      <c r="G12" s="2" t="s">
        <v>695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25.34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354</v>
      </c>
      <c r="C14" s="11">
        <v>79378753915</v>
      </c>
      <c r="D14" s="5" t="s">
        <v>355</v>
      </c>
      <c r="E14" s="8">
        <v>641.61</v>
      </c>
      <c r="F14" s="5" t="s">
        <v>9</v>
      </c>
      <c r="G14" s="2" t="s">
        <v>1443</v>
      </c>
    </row>
    <row r="15" spans="1:7" x14ac:dyDescent="0.2">
      <c r="A15" s="11">
        <v>5</v>
      </c>
      <c r="B15" s="5" t="s">
        <v>1444</v>
      </c>
      <c r="C15" s="11">
        <v>42363414238</v>
      </c>
      <c r="D15" s="5" t="s">
        <v>1445</v>
      </c>
      <c r="E15" s="8">
        <v>1087.29</v>
      </c>
      <c r="F15" s="5" t="s">
        <v>9</v>
      </c>
      <c r="G15" s="2" t="s">
        <v>845</v>
      </c>
    </row>
    <row r="16" spans="1:7" ht="13.5" customHeight="1" x14ac:dyDescent="0.2">
      <c r="A16" s="11">
        <v>6</v>
      </c>
      <c r="B16" s="5" t="s">
        <v>17</v>
      </c>
      <c r="C16" s="12" t="s">
        <v>25</v>
      </c>
      <c r="D16" s="9" t="s">
        <v>26</v>
      </c>
      <c r="E16" s="8">
        <f>5713.69*2</f>
        <v>11427.38</v>
      </c>
      <c r="F16" s="5" t="s">
        <v>9</v>
      </c>
      <c r="G16" s="2" t="s">
        <v>18</v>
      </c>
    </row>
    <row r="17" spans="1:9" x14ac:dyDescent="0.2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9" x14ac:dyDescent="0.2">
      <c r="A18" s="11">
        <v>8</v>
      </c>
      <c r="B18" s="5" t="s">
        <v>136</v>
      </c>
      <c r="C18" s="11">
        <v>87311810356</v>
      </c>
      <c r="D18" s="5" t="s">
        <v>168</v>
      </c>
      <c r="E18" s="8">
        <v>326.08999999999997</v>
      </c>
      <c r="F18" s="5" t="s">
        <v>9</v>
      </c>
      <c r="G18" s="2" t="s">
        <v>135</v>
      </c>
    </row>
    <row r="19" spans="1:9" x14ac:dyDescent="0.2">
      <c r="A19" s="11">
        <v>9</v>
      </c>
      <c r="B19" s="5" t="s">
        <v>1446</v>
      </c>
      <c r="C19" s="11">
        <v>38668338725</v>
      </c>
      <c r="D19" s="5" t="s">
        <v>1447</v>
      </c>
      <c r="E19" s="8">
        <v>1000</v>
      </c>
      <c r="F19" s="5" t="s">
        <v>9</v>
      </c>
      <c r="G19" s="2" t="s">
        <v>178</v>
      </c>
    </row>
    <row r="20" spans="1:9" x14ac:dyDescent="0.2">
      <c r="A20" s="11">
        <v>10</v>
      </c>
      <c r="B20" s="5" t="s">
        <v>22</v>
      </c>
      <c r="C20" s="11">
        <v>73660371074</v>
      </c>
      <c r="D20" s="5" t="s">
        <v>28</v>
      </c>
      <c r="E20" s="8">
        <v>9.39</v>
      </c>
      <c r="F20" s="5" t="s">
        <v>9</v>
      </c>
      <c r="G20" s="2" t="s">
        <v>21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1506998.64</v>
      </c>
      <c r="F21" s="5" t="s">
        <v>9</v>
      </c>
      <c r="G21" s="2" t="s">
        <v>27</v>
      </c>
      <c r="I21" s="13"/>
    </row>
    <row r="22" spans="1:9" x14ac:dyDescent="0.2">
      <c r="A22" s="11">
        <v>12</v>
      </c>
      <c r="B22" s="5" t="s">
        <v>15</v>
      </c>
      <c r="C22" s="11" t="s">
        <v>15</v>
      </c>
      <c r="D22" s="5" t="s">
        <v>15</v>
      </c>
      <c r="E22" s="8">
        <v>505.45</v>
      </c>
      <c r="F22" s="5" t="s">
        <v>9</v>
      </c>
      <c r="G22" s="2" t="s">
        <v>1061</v>
      </c>
      <c r="I22" s="13"/>
    </row>
    <row r="23" spans="1:9" x14ac:dyDescent="0.2">
      <c r="A23" s="11">
        <v>13</v>
      </c>
      <c r="B23" s="5" t="s">
        <v>15</v>
      </c>
      <c r="C23" s="11" t="s">
        <v>15</v>
      </c>
      <c r="D23" s="5" t="s">
        <v>15</v>
      </c>
      <c r="E23" s="8">
        <v>600</v>
      </c>
      <c r="F23" s="5" t="s">
        <v>9</v>
      </c>
      <c r="G23" s="2" t="s">
        <v>16</v>
      </c>
    </row>
    <row r="24" spans="1:9" x14ac:dyDescent="0.2">
      <c r="A24" s="11">
        <v>14</v>
      </c>
      <c r="B24" s="5" t="s">
        <v>793</v>
      </c>
      <c r="C24" s="11">
        <v>15584765545</v>
      </c>
      <c r="D24" s="5" t="s">
        <v>794</v>
      </c>
      <c r="E24" s="8">
        <v>500</v>
      </c>
      <c r="F24" s="5" t="s">
        <v>9</v>
      </c>
      <c r="G24" s="2" t="s">
        <v>178</v>
      </c>
    </row>
    <row r="25" spans="1:9" x14ac:dyDescent="0.2">
      <c r="A25" s="11">
        <v>15</v>
      </c>
      <c r="B25" s="5" t="s">
        <v>449</v>
      </c>
      <c r="C25" s="11" t="s">
        <v>450</v>
      </c>
      <c r="D25" s="5" t="s">
        <v>451</v>
      </c>
      <c r="E25" s="8">
        <v>4972</v>
      </c>
      <c r="F25" s="5" t="s">
        <v>9</v>
      </c>
      <c r="G25" s="2" t="s">
        <v>21</v>
      </c>
    </row>
    <row r="26" spans="1:9" x14ac:dyDescent="0.2">
      <c r="A26" s="11">
        <v>16</v>
      </c>
      <c r="B26" s="5" t="s">
        <v>29</v>
      </c>
      <c r="C26" s="12" t="s">
        <v>32</v>
      </c>
      <c r="D26" s="5" t="s">
        <v>31</v>
      </c>
      <c r="E26" s="8">
        <v>1459.8</v>
      </c>
      <c r="F26" s="5" t="s">
        <v>9</v>
      </c>
      <c r="G26" s="2" t="s">
        <v>14</v>
      </c>
    </row>
    <row r="27" spans="1:9" x14ac:dyDescent="0.2">
      <c r="A27" s="11">
        <v>17</v>
      </c>
      <c r="B27" s="5" t="s">
        <v>689</v>
      </c>
      <c r="C27" s="11">
        <v>57500462912</v>
      </c>
      <c r="D27" s="5" t="s">
        <v>690</v>
      </c>
      <c r="E27" s="8">
        <f>400</f>
        <v>400</v>
      </c>
      <c r="F27" s="5" t="s">
        <v>9</v>
      </c>
      <c r="G27" s="2" t="s">
        <v>691</v>
      </c>
    </row>
    <row r="28" spans="1:9" x14ac:dyDescent="0.2">
      <c r="A28" s="11">
        <v>18</v>
      </c>
      <c r="B28" s="5" t="s">
        <v>1448</v>
      </c>
      <c r="C28" s="11">
        <v>59610651393</v>
      </c>
      <c r="D28" s="5" t="s">
        <v>1449</v>
      </c>
      <c r="E28" s="8">
        <v>51.6</v>
      </c>
      <c r="F28" s="5" t="s">
        <v>9</v>
      </c>
      <c r="G28" s="2" t="s">
        <v>21</v>
      </c>
    </row>
    <row r="29" spans="1:9" x14ac:dyDescent="0.2">
      <c r="A29" s="11">
        <v>19</v>
      </c>
      <c r="B29" s="19" t="s">
        <v>1450</v>
      </c>
      <c r="C29" s="33">
        <v>38065977917</v>
      </c>
      <c r="D29" s="19" t="s">
        <v>1451</v>
      </c>
      <c r="E29" s="15">
        <v>14.76</v>
      </c>
      <c r="F29" s="19" t="s">
        <v>9</v>
      </c>
      <c r="G29" s="26" t="s">
        <v>21</v>
      </c>
    </row>
    <row r="30" spans="1:9" x14ac:dyDescent="0.2">
      <c r="A30" s="11">
        <v>20</v>
      </c>
      <c r="B30" s="5" t="s">
        <v>972</v>
      </c>
      <c r="C30" s="11" t="s">
        <v>973</v>
      </c>
      <c r="D30" s="5" t="s">
        <v>974</v>
      </c>
      <c r="E30" s="8">
        <f>20980+7534.25</f>
        <v>28514.25</v>
      </c>
      <c r="F30" s="40" t="s">
        <v>9</v>
      </c>
      <c r="G30" s="2" t="s">
        <v>21</v>
      </c>
    </row>
    <row r="31" spans="1:9" ht="12.75" thickBot="1" x14ac:dyDescent="0.25">
      <c r="A31" s="11">
        <v>21</v>
      </c>
      <c r="B31" s="19" t="s">
        <v>1452</v>
      </c>
      <c r="C31" s="33">
        <v>13388634586</v>
      </c>
      <c r="D31" s="19" t="s">
        <v>1453</v>
      </c>
      <c r="E31" s="15">
        <v>59.52</v>
      </c>
      <c r="F31" s="19" t="s">
        <v>9</v>
      </c>
      <c r="G31" s="26" t="s">
        <v>21</v>
      </c>
      <c r="H31" s="13"/>
    </row>
    <row r="32" spans="1:9" x14ac:dyDescent="0.2">
      <c r="A32" s="74">
        <v>22</v>
      </c>
      <c r="B32" s="76" t="s">
        <v>393</v>
      </c>
      <c r="C32" s="74">
        <v>66253945791</v>
      </c>
      <c r="D32" s="76" t="s">
        <v>50</v>
      </c>
      <c r="E32" s="16">
        <v>10220.469999999999</v>
      </c>
      <c r="F32" s="76" t="s">
        <v>9</v>
      </c>
      <c r="G32" s="28" t="s">
        <v>21</v>
      </c>
      <c r="H32" s="13"/>
    </row>
    <row r="33" spans="1:7" ht="12.75" thickBot="1" x14ac:dyDescent="0.25">
      <c r="A33" s="75"/>
      <c r="B33" s="77"/>
      <c r="C33" s="75"/>
      <c r="D33" s="77"/>
      <c r="E33" s="18">
        <v>240050</v>
      </c>
      <c r="F33" s="77"/>
      <c r="G33" s="29" t="s">
        <v>41</v>
      </c>
    </row>
    <row r="34" spans="1:7" x14ac:dyDescent="0.2">
      <c r="A34" s="34">
        <v>23</v>
      </c>
      <c r="B34" s="30" t="s">
        <v>492</v>
      </c>
      <c r="C34" s="34">
        <v>68381265730</v>
      </c>
      <c r="D34" s="30" t="s">
        <v>493</v>
      </c>
      <c r="E34" s="17">
        <v>490</v>
      </c>
      <c r="F34" s="30" t="s">
        <v>9</v>
      </c>
      <c r="G34" s="31" t="s">
        <v>21</v>
      </c>
    </row>
    <row r="35" spans="1:7" x14ac:dyDescent="0.2">
      <c r="A35" s="11">
        <v>24</v>
      </c>
      <c r="B35" s="19" t="s">
        <v>42</v>
      </c>
      <c r="C35" s="33">
        <v>63073332379</v>
      </c>
      <c r="D35" s="19" t="s">
        <v>52</v>
      </c>
      <c r="E35" s="15">
        <v>3037.29</v>
      </c>
      <c r="F35" s="19" t="s">
        <v>9</v>
      </c>
      <c r="G35" s="26" t="s">
        <v>44</v>
      </c>
    </row>
    <row r="36" spans="1:7" x14ac:dyDescent="0.2">
      <c r="A36" s="11">
        <v>25</v>
      </c>
      <c r="B36" s="5" t="s">
        <v>503</v>
      </c>
      <c r="C36" s="11">
        <v>27712717103</v>
      </c>
      <c r="D36" s="5" t="s">
        <v>504</v>
      </c>
      <c r="E36" s="8">
        <v>11711.26</v>
      </c>
      <c r="F36" s="40" t="s">
        <v>9</v>
      </c>
      <c r="G36" s="2" t="s">
        <v>64</v>
      </c>
    </row>
    <row r="37" spans="1:7" x14ac:dyDescent="0.2">
      <c r="A37" s="11">
        <v>26</v>
      </c>
      <c r="B37" s="19" t="s">
        <v>440</v>
      </c>
      <c r="C37" s="33">
        <v>44270699963</v>
      </c>
      <c r="D37" s="19" t="s">
        <v>441</v>
      </c>
      <c r="E37" s="15">
        <v>38.24</v>
      </c>
      <c r="F37" s="19" t="s">
        <v>9</v>
      </c>
      <c r="G37" s="26" t="s">
        <v>84</v>
      </c>
    </row>
    <row r="38" spans="1:7" x14ac:dyDescent="0.2">
      <c r="A38" s="11">
        <v>27</v>
      </c>
      <c r="B38" s="40" t="s">
        <v>57</v>
      </c>
      <c r="C38" s="41">
        <v>27759560625</v>
      </c>
      <c r="D38" s="40" t="s">
        <v>59</v>
      </c>
      <c r="E38" s="8">
        <v>7353.04</v>
      </c>
      <c r="F38" s="40" t="s">
        <v>9</v>
      </c>
      <c r="G38" s="2" t="s">
        <v>58</v>
      </c>
    </row>
    <row r="39" spans="1:7" x14ac:dyDescent="0.2">
      <c r="A39" s="11">
        <v>28</v>
      </c>
      <c r="B39" s="30" t="s">
        <v>1454</v>
      </c>
      <c r="C39" s="34">
        <v>78248871009</v>
      </c>
      <c r="D39" s="30" t="s">
        <v>1455</v>
      </c>
      <c r="E39" s="17">
        <v>19</v>
      </c>
      <c r="F39" s="30" t="s">
        <v>9</v>
      </c>
      <c r="G39" s="31" t="s">
        <v>21</v>
      </c>
    </row>
    <row r="40" spans="1:7" x14ac:dyDescent="0.2">
      <c r="A40" s="11">
        <v>29</v>
      </c>
      <c r="B40" s="5" t="s">
        <v>368</v>
      </c>
      <c r="C40" s="12" t="s">
        <v>370</v>
      </c>
      <c r="D40" s="5" t="s">
        <v>1200</v>
      </c>
      <c r="E40" s="8">
        <v>1253</v>
      </c>
      <c r="F40" s="5" t="s">
        <v>9</v>
      </c>
      <c r="G40" s="2" t="s">
        <v>21</v>
      </c>
    </row>
    <row r="41" spans="1:7" x14ac:dyDescent="0.2">
      <c r="A41" s="11">
        <v>30</v>
      </c>
      <c r="B41" s="5" t="s">
        <v>408</v>
      </c>
      <c r="C41" s="11" t="s">
        <v>409</v>
      </c>
      <c r="D41" s="5" t="s">
        <v>410</v>
      </c>
      <c r="E41" s="8">
        <v>7500</v>
      </c>
      <c r="F41" s="5" t="s">
        <v>9</v>
      </c>
      <c r="G41" s="2" t="s">
        <v>21</v>
      </c>
    </row>
    <row r="42" spans="1:7" x14ac:dyDescent="0.2">
      <c r="A42" s="11">
        <v>31</v>
      </c>
      <c r="B42" s="5" t="s">
        <v>1215</v>
      </c>
      <c r="C42" s="11" t="s">
        <v>1216</v>
      </c>
      <c r="D42" s="5" t="s">
        <v>1217</v>
      </c>
      <c r="E42" s="8">
        <v>1576.26</v>
      </c>
      <c r="F42" s="5" t="s">
        <v>9</v>
      </c>
      <c r="G42" s="2" t="s">
        <v>21</v>
      </c>
    </row>
    <row r="43" spans="1:7" x14ac:dyDescent="0.2">
      <c r="A43" s="11">
        <v>32</v>
      </c>
      <c r="B43" s="5" t="s">
        <v>1402</v>
      </c>
      <c r="C43" s="11" t="s">
        <v>1403</v>
      </c>
      <c r="D43" s="5" t="s">
        <v>1404</v>
      </c>
      <c r="E43" s="8">
        <v>3896.19</v>
      </c>
      <c r="F43" s="5" t="s">
        <v>9</v>
      </c>
      <c r="G43" s="2" t="s">
        <v>21</v>
      </c>
    </row>
    <row r="44" spans="1:7" x14ac:dyDescent="0.2">
      <c r="A44" s="11">
        <v>33</v>
      </c>
      <c r="B44" s="5" t="s">
        <v>1290</v>
      </c>
      <c r="C44" s="11" t="s">
        <v>1151</v>
      </c>
      <c r="D44" s="5" t="s">
        <v>1152</v>
      </c>
      <c r="E44" s="8">
        <v>2500</v>
      </c>
      <c r="F44" s="5" t="s">
        <v>9</v>
      </c>
      <c r="G44" s="2" t="s">
        <v>21</v>
      </c>
    </row>
    <row r="45" spans="1:7" x14ac:dyDescent="0.2">
      <c r="A45" s="11">
        <v>34</v>
      </c>
      <c r="B45" s="5" t="s">
        <v>1300</v>
      </c>
      <c r="C45" s="11">
        <v>91330201308</v>
      </c>
      <c r="D45" s="5" t="s">
        <v>1301</v>
      </c>
      <c r="E45" s="8">
        <v>671.35</v>
      </c>
      <c r="F45" s="5" t="s">
        <v>9</v>
      </c>
      <c r="G45" s="2" t="s">
        <v>21</v>
      </c>
    </row>
    <row r="46" spans="1:7" x14ac:dyDescent="0.2">
      <c r="A46" s="11">
        <v>35</v>
      </c>
      <c r="B46" s="19" t="s">
        <v>297</v>
      </c>
      <c r="C46" s="33">
        <v>110752628</v>
      </c>
      <c r="D46" s="19" t="s">
        <v>300</v>
      </c>
      <c r="E46" s="8">
        <f>1495.3</f>
        <v>1495.3</v>
      </c>
      <c r="F46" s="5" t="s">
        <v>9</v>
      </c>
      <c r="G46" s="2" t="s">
        <v>21</v>
      </c>
    </row>
    <row r="47" spans="1:7" x14ac:dyDescent="0.2">
      <c r="A47" s="11">
        <v>36</v>
      </c>
      <c r="B47" s="40" t="s">
        <v>1373</v>
      </c>
      <c r="C47" s="41">
        <v>80653493587</v>
      </c>
      <c r="D47" s="40" t="s">
        <v>1374</v>
      </c>
      <c r="E47" s="8">
        <v>1155</v>
      </c>
      <c r="F47" s="5" t="s">
        <v>9</v>
      </c>
      <c r="G47" s="2" t="s">
        <v>21</v>
      </c>
    </row>
    <row r="48" spans="1:7" x14ac:dyDescent="0.2">
      <c r="A48" s="11">
        <v>37</v>
      </c>
      <c r="B48" s="5" t="s">
        <v>1108</v>
      </c>
      <c r="C48" s="12" t="s">
        <v>1109</v>
      </c>
      <c r="D48" s="5" t="s">
        <v>1110</v>
      </c>
      <c r="E48" s="8">
        <v>4577.2</v>
      </c>
      <c r="F48" s="5" t="s">
        <v>9</v>
      </c>
      <c r="G48" s="2" t="s">
        <v>255</v>
      </c>
    </row>
    <row r="49" spans="1:7" x14ac:dyDescent="0.2">
      <c r="A49" s="11">
        <v>38</v>
      </c>
      <c r="B49" s="5" t="s">
        <v>1063</v>
      </c>
      <c r="C49" s="11">
        <v>32047404941</v>
      </c>
      <c r="D49" s="5" t="s">
        <v>1064</v>
      </c>
      <c r="E49" s="8">
        <v>3500</v>
      </c>
      <c r="F49" s="5" t="s">
        <v>9</v>
      </c>
      <c r="G49" s="2" t="s">
        <v>21</v>
      </c>
    </row>
    <row r="50" spans="1:7" x14ac:dyDescent="0.2">
      <c r="A50" s="11">
        <v>39</v>
      </c>
      <c r="B50" s="19" t="s">
        <v>1280</v>
      </c>
      <c r="C50" s="33">
        <v>94167807411</v>
      </c>
      <c r="D50" s="19" t="s">
        <v>1281</v>
      </c>
      <c r="E50" s="8">
        <v>90.03</v>
      </c>
      <c r="F50" s="5" t="s">
        <v>9</v>
      </c>
      <c r="G50" s="2" t="s">
        <v>21</v>
      </c>
    </row>
    <row r="51" spans="1:7" x14ac:dyDescent="0.2">
      <c r="A51" s="11">
        <v>40</v>
      </c>
      <c r="B51" s="5" t="s">
        <v>546</v>
      </c>
      <c r="C51" s="11">
        <v>80805858278</v>
      </c>
      <c r="D51" s="5" t="s">
        <v>187</v>
      </c>
      <c r="E51" s="8">
        <v>67.540000000000006</v>
      </c>
      <c r="F51" s="5" t="s">
        <v>9</v>
      </c>
      <c r="G51" s="2" t="s">
        <v>47</v>
      </c>
    </row>
    <row r="52" spans="1:7" x14ac:dyDescent="0.2">
      <c r="A52" s="11">
        <v>41</v>
      </c>
      <c r="B52" s="19" t="s">
        <v>433</v>
      </c>
      <c r="C52" s="33">
        <v>97446189704</v>
      </c>
      <c r="D52" s="19" t="s">
        <v>434</v>
      </c>
      <c r="E52" s="15">
        <v>291.38</v>
      </c>
      <c r="F52" s="19" t="s">
        <v>9</v>
      </c>
      <c r="G52" s="26" t="s">
        <v>178</v>
      </c>
    </row>
    <row r="53" spans="1:7" x14ac:dyDescent="0.2">
      <c r="A53" s="11">
        <v>42</v>
      </c>
      <c r="B53" s="5" t="s">
        <v>696</v>
      </c>
      <c r="C53" s="11">
        <v>51645411160</v>
      </c>
      <c r="D53" s="5" t="s">
        <v>697</v>
      </c>
      <c r="E53" s="8">
        <v>35.47</v>
      </c>
      <c r="F53" s="5" t="s">
        <v>9</v>
      </c>
      <c r="G53" s="2" t="s">
        <v>21</v>
      </c>
    </row>
    <row r="54" spans="1:7" x14ac:dyDescent="0.2">
      <c r="A54" s="11">
        <v>43</v>
      </c>
      <c r="B54" s="5" t="s">
        <v>1456</v>
      </c>
      <c r="C54" s="11">
        <v>65217704945</v>
      </c>
      <c r="D54" s="5" t="s">
        <v>1457</v>
      </c>
      <c r="E54" s="8">
        <v>398.16</v>
      </c>
      <c r="F54" s="5" t="s">
        <v>9</v>
      </c>
      <c r="G54" s="2" t="s">
        <v>1284</v>
      </c>
    </row>
    <row r="55" spans="1:7" x14ac:dyDescent="0.2">
      <c r="A55" s="11">
        <v>44</v>
      </c>
      <c r="B55" s="5" t="s">
        <v>917</v>
      </c>
      <c r="C55" s="11">
        <v>56717147376</v>
      </c>
      <c r="D55" s="5" t="s">
        <v>365</v>
      </c>
      <c r="E55" s="8">
        <v>1791.81</v>
      </c>
      <c r="F55" s="5" t="s">
        <v>9</v>
      </c>
      <c r="G55" s="2" t="s">
        <v>21</v>
      </c>
    </row>
    <row r="56" spans="1:7" x14ac:dyDescent="0.2">
      <c r="A56" s="11">
        <v>45</v>
      </c>
      <c r="B56" s="5" t="s">
        <v>843</v>
      </c>
      <c r="C56" s="11">
        <v>79069474349</v>
      </c>
      <c r="D56" s="5" t="s">
        <v>844</v>
      </c>
      <c r="E56" s="8">
        <v>43.28</v>
      </c>
      <c r="F56" s="5" t="s">
        <v>9</v>
      </c>
      <c r="G56" s="2" t="s">
        <v>845</v>
      </c>
    </row>
    <row r="57" spans="1:7" x14ac:dyDescent="0.2">
      <c r="A57" s="11">
        <v>46</v>
      </c>
      <c r="B57" s="5" t="s">
        <v>1458</v>
      </c>
      <c r="C57" s="11">
        <v>89206455960</v>
      </c>
      <c r="D57" s="5" t="s">
        <v>1459</v>
      </c>
      <c r="E57" s="8">
        <v>39.380000000000003</v>
      </c>
      <c r="F57" s="5" t="s">
        <v>9</v>
      </c>
      <c r="G57" s="2" t="s">
        <v>21</v>
      </c>
    </row>
    <row r="58" spans="1:7" x14ac:dyDescent="0.2">
      <c r="A58" s="11">
        <v>47</v>
      </c>
      <c r="B58" s="5" t="s">
        <v>1460</v>
      </c>
      <c r="C58" s="11">
        <v>93095311297</v>
      </c>
      <c r="D58" s="5" t="s">
        <v>1461</v>
      </c>
      <c r="E58" s="8">
        <v>37</v>
      </c>
      <c r="F58" s="5" t="s">
        <v>9</v>
      </c>
      <c r="G58" s="2" t="s">
        <v>21</v>
      </c>
    </row>
    <row r="59" spans="1:7" x14ac:dyDescent="0.2">
      <c r="A59" s="11">
        <v>48</v>
      </c>
      <c r="B59" s="5" t="s">
        <v>1462</v>
      </c>
      <c r="C59" s="11">
        <v>24726892997</v>
      </c>
      <c r="D59" s="5" t="s">
        <v>1463</v>
      </c>
      <c r="E59" s="8">
        <v>14.33</v>
      </c>
      <c r="F59" s="5" t="s">
        <v>9</v>
      </c>
      <c r="G59" s="2" t="s">
        <v>21</v>
      </c>
    </row>
    <row r="60" spans="1:7" x14ac:dyDescent="0.2">
      <c r="A60" s="11">
        <v>49</v>
      </c>
      <c r="B60" s="5" t="s">
        <v>1464</v>
      </c>
      <c r="C60" s="11">
        <v>89021876450</v>
      </c>
      <c r="D60" s="5" t="s">
        <v>1371</v>
      </c>
      <c r="E60" s="8">
        <v>22.25</v>
      </c>
      <c r="F60" s="5" t="s">
        <v>9</v>
      </c>
      <c r="G60" s="2" t="s">
        <v>21</v>
      </c>
    </row>
    <row r="61" spans="1:7" x14ac:dyDescent="0.2">
      <c r="A61" s="11">
        <v>50</v>
      </c>
      <c r="B61" s="5" t="s">
        <v>1465</v>
      </c>
      <c r="C61" s="11">
        <v>52944353034</v>
      </c>
      <c r="D61" s="5" t="s">
        <v>1466</v>
      </c>
      <c r="E61" s="8">
        <v>8.6</v>
      </c>
      <c r="F61" s="5" t="s">
        <v>9</v>
      </c>
      <c r="G61" s="2" t="s">
        <v>21</v>
      </c>
    </row>
    <row r="62" spans="1:7" x14ac:dyDescent="0.2">
      <c r="A62" s="11">
        <v>51</v>
      </c>
      <c r="B62" s="5" t="s">
        <v>1467</v>
      </c>
      <c r="C62" s="11">
        <v>13784529096</v>
      </c>
      <c r="D62" s="5" t="s">
        <v>1468</v>
      </c>
      <c r="E62" s="8">
        <v>19.559999999999999</v>
      </c>
      <c r="F62" s="5" t="s">
        <v>9</v>
      </c>
      <c r="G62" s="2" t="s">
        <v>21</v>
      </c>
    </row>
    <row r="63" spans="1:7" x14ac:dyDescent="0.2">
      <c r="A63" s="11">
        <v>52</v>
      </c>
      <c r="B63" s="5" t="s">
        <v>1469</v>
      </c>
      <c r="C63" s="11">
        <v>48380227509</v>
      </c>
      <c r="D63" s="5" t="s">
        <v>1470</v>
      </c>
      <c r="E63" s="8">
        <v>25</v>
      </c>
      <c r="F63" s="5" t="s">
        <v>9</v>
      </c>
      <c r="G63" s="2" t="s">
        <v>21</v>
      </c>
    </row>
    <row r="64" spans="1:7" x14ac:dyDescent="0.2">
      <c r="A64" s="11">
        <v>53</v>
      </c>
      <c r="B64" s="5" t="s">
        <v>1412</v>
      </c>
      <c r="C64" s="11">
        <v>23932241710</v>
      </c>
      <c r="D64" s="5" t="s">
        <v>1471</v>
      </c>
      <c r="E64" s="8">
        <v>3000</v>
      </c>
      <c r="F64" s="5" t="s">
        <v>9</v>
      </c>
      <c r="G64" s="2" t="s">
        <v>21</v>
      </c>
    </row>
    <row r="65" spans="1:7" x14ac:dyDescent="0.2">
      <c r="A65" s="11">
        <v>54</v>
      </c>
      <c r="B65" s="5" t="s">
        <v>763</v>
      </c>
      <c r="C65" s="11" t="s">
        <v>764</v>
      </c>
      <c r="D65" s="5" t="s">
        <v>765</v>
      </c>
      <c r="E65" s="8">
        <v>2977</v>
      </c>
      <c r="F65" s="5" t="s">
        <v>9</v>
      </c>
      <c r="G65" s="2" t="s">
        <v>21</v>
      </c>
    </row>
    <row r="66" spans="1:7" x14ac:dyDescent="0.2">
      <c r="A66" s="11">
        <v>55</v>
      </c>
      <c r="B66" s="5" t="s">
        <v>483</v>
      </c>
      <c r="C66" s="12">
        <v>34683682958</v>
      </c>
      <c r="D66" s="5" t="s">
        <v>363</v>
      </c>
      <c r="E66" s="8">
        <v>188</v>
      </c>
      <c r="F66" s="5" t="s">
        <v>9</v>
      </c>
      <c r="G66" s="2" t="s">
        <v>241</v>
      </c>
    </row>
    <row r="67" spans="1:7" x14ac:dyDescent="0.2">
      <c r="A67" s="11">
        <v>56</v>
      </c>
      <c r="B67" s="5" t="s">
        <v>614</v>
      </c>
      <c r="C67" s="11">
        <v>57845277445</v>
      </c>
      <c r="D67" s="5" t="s">
        <v>615</v>
      </c>
      <c r="E67" s="8">
        <v>218.75</v>
      </c>
      <c r="F67" s="5" t="s">
        <v>9</v>
      </c>
      <c r="G67" s="2" t="s">
        <v>132</v>
      </c>
    </row>
    <row r="68" spans="1:7" x14ac:dyDescent="0.2">
      <c r="A68" s="11">
        <v>57</v>
      </c>
      <c r="B68" s="5" t="s">
        <v>1072</v>
      </c>
      <c r="C68" s="12" t="s">
        <v>1073</v>
      </c>
      <c r="D68" s="5" t="s">
        <v>1074</v>
      </c>
      <c r="E68" s="8">
        <v>3095.51</v>
      </c>
      <c r="F68" s="5" t="s">
        <v>9</v>
      </c>
      <c r="G68" s="2" t="s">
        <v>21</v>
      </c>
    </row>
    <row r="69" spans="1:7" x14ac:dyDescent="0.2">
      <c r="A69" s="11">
        <v>58</v>
      </c>
      <c r="B69" s="5" t="s">
        <v>98</v>
      </c>
      <c r="C69" s="11">
        <v>28921383001</v>
      </c>
      <c r="D69" s="5" t="s">
        <v>100</v>
      </c>
      <c r="E69" s="8">
        <v>139.36000000000001</v>
      </c>
      <c r="F69" s="5" t="s">
        <v>9</v>
      </c>
      <c r="G69" s="2" t="s">
        <v>99</v>
      </c>
    </row>
    <row r="70" spans="1:7" x14ac:dyDescent="0.2">
      <c r="A70" s="11">
        <v>59</v>
      </c>
      <c r="B70" s="30" t="s">
        <v>271</v>
      </c>
      <c r="C70" s="34">
        <v>26901839603</v>
      </c>
      <c r="D70" s="30" t="s">
        <v>272</v>
      </c>
      <c r="E70" s="15">
        <f>3189.79+583.61</f>
        <v>3773.4</v>
      </c>
      <c r="F70" s="19" t="s">
        <v>9</v>
      </c>
      <c r="G70" s="26" t="s">
        <v>21</v>
      </c>
    </row>
    <row r="71" spans="1:7" x14ac:dyDescent="0.2">
      <c r="A71" s="11">
        <v>60</v>
      </c>
      <c r="B71" s="19" t="s">
        <v>592</v>
      </c>
      <c r="C71" s="33">
        <v>89102192044</v>
      </c>
      <c r="D71" s="19" t="s">
        <v>593</v>
      </c>
      <c r="E71" s="15">
        <v>280</v>
      </c>
      <c r="F71" s="19" t="s">
        <v>9</v>
      </c>
      <c r="G71" s="26" t="s">
        <v>337</v>
      </c>
    </row>
    <row r="72" spans="1:7" x14ac:dyDescent="0.2">
      <c r="A72" s="11">
        <v>61</v>
      </c>
      <c r="B72" s="5" t="s">
        <v>600</v>
      </c>
      <c r="C72" s="11" t="s">
        <v>601</v>
      </c>
      <c r="D72" s="5" t="s">
        <v>602</v>
      </c>
      <c r="E72" s="8">
        <v>1778</v>
      </c>
      <c r="F72" s="5" t="s">
        <v>9</v>
      </c>
      <c r="G72" s="2" t="s">
        <v>21</v>
      </c>
    </row>
    <row r="73" spans="1:7" x14ac:dyDescent="0.2">
      <c r="A73" s="11">
        <v>62</v>
      </c>
      <c r="B73" s="5" t="s">
        <v>1472</v>
      </c>
      <c r="C73" s="11">
        <v>74867487620</v>
      </c>
      <c r="D73" s="5" t="s">
        <v>1473</v>
      </c>
      <c r="E73" s="8">
        <f>1575+2180.06+9.45+14.98</f>
        <v>3779.49</v>
      </c>
      <c r="F73" s="5" t="s">
        <v>9</v>
      </c>
      <c r="G73" s="2" t="s">
        <v>21</v>
      </c>
    </row>
    <row r="74" spans="1:7" x14ac:dyDescent="0.2">
      <c r="A74" s="11">
        <v>63</v>
      </c>
      <c r="B74" s="19" t="s">
        <v>1335</v>
      </c>
      <c r="C74" s="33">
        <v>61807090908</v>
      </c>
      <c r="D74" s="19" t="s">
        <v>1336</v>
      </c>
      <c r="E74" s="15">
        <v>7677.9</v>
      </c>
      <c r="F74" s="19" t="s">
        <v>9</v>
      </c>
      <c r="G74" s="26" t="s">
        <v>211</v>
      </c>
    </row>
    <row r="75" spans="1:7" x14ac:dyDescent="0.2">
      <c r="A75" s="11">
        <v>64</v>
      </c>
      <c r="B75" s="5" t="s">
        <v>264</v>
      </c>
      <c r="C75" s="11" t="s">
        <v>266</v>
      </c>
      <c r="D75" s="5" t="s">
        <v>265</v>
      </c>
      <c r="E75" s="8">
        <f>1672.57+10.87</f>
        <v>1683.4399999999998</v>
      </c>
      <c r="F75" s="5" t="s">
        <v>9</v>
      </c>
      <c r="G75" s="2" t="s">
        <v>21</v>
      </c>
    </row>
    <row r="76" spans="1:7" x14ac:dyDescent="0.2">
      <c r="A76" s="11">
        <v>65</v>
      </c>
      <c r="B76" s="5" t="s">
        <v>72</v>
      </c>
      <c r="C76" s="11" t="s">
        <v>15</v>
      </c>
      <c r="D76" s="5" t="s">
        <v>15</v>
      </c>
      <c r="E76" s="8">
        <v>302.58</v>
      </c>
      <c r="F76" s="5" t="s">
        <v>9</v>
      </c>
      <c r="G76" s="2" t="s">
        <v>71</v>
      </c>
    </row>
    <row r="77" spans="1:7" x14ac:dyDescent="0.2">
      <c r="A77" s="11">
        <v>66</v>
      </c>
      <c r="B77" s="5" t="s">
        <v>15</v>
      </c>
      <c r="C77" s="11" t="s">
        <v>15</v>
      </c>
      <c r="D77" s="5" t="s">
        <v>15</v>
      </c>
      <c r="E77" s="8">
        <v>720</v>
      </c>
      <c r="F77" s="5" t="s">
        <v>9</v>
      </c>
      <c r="G77" s="2" t="s">
        <v>73</v>
      </c>
    </row>
    <row r="78" spans="1:7" x14ac:dyDescent="0.2">
      <c r="A78" s="11">
        <v>67</v>
      </c>
      <c r="B78" s="5" t="s">
        <v>422</v>
      </c>
      <c r="C78" s="11">
        <v>33813961569</v>
      </c>
      <c r="D78" s="5" t="s">
        <v>423</v>
      </c>
      <c r="E78" s="8">
        <v>30.88</v>
      </c>
      <c r="F78" s="5" t="s">
        <v>9</v>
      </c>
      <c r="G78" s="2" t="s">
        <v>84</v>
      </c>
    </row>
    <row r="79" spans="1:7" ht="12.75" thickBot="1" x14ac:dyDescent="0.25">
      <c r="A79" s="11">
        <v>68</v>
      </c>
      <c r="B79" s="5" t="s">
        <v>817</v>
      </c>
      <c r="C79" s="12" t="s">
        <v>818</v>
      </c>
      <c r="D79" s="5" t="s">
        <v>819</v>
      </c>
      <c r="E79" s="8">
        <f>4636+216</f>
        <v>4852</v>
      </c>
      <c r="F79" s="5" t="s">
        <v>9</v>
      </c>
      <c r="G79" s="2" t="s">
        <v>21</v>
      </c>
    </row>
    <row r="80" spans="1:7" x14ac:dyDescent="0.2">
      <c r="A80" s="74">
        <v>69</v>
      </c>
      <c r="B80" s="76" t="s">
        <v>85</v>
      </c>
      <c r="C80" s="74">
        <v>76173743169</v>
      </c>
      <c r="D80" s="76" t="s">
        <v>83</v>
      </c>
      <c r="E80" s="16">
        <v>979.01</v>
      </c>
      <c r="F80" s="76" t="s">
        <v>9</v>
      </c>
      <c r="G80" s="28" t="s">
        <v>80</v>
      </c>
    </row>
    <row r="81" spans="1:7" ht="12.75" thickBot="1" x14ac:dyDescent="0.25">
      <c r="A81" s="75"/>
      <c r="B81" s="77"/>
      <c r="C81" s="75"/>
      <c r="D81" s="77"/>
      <c r="E81" s="18">
        <f>73.18+12.5</f>
        <v>85.68</v>
      </c>
      <c r="F81" s="77"/>
      <c r="G81" s="29" t="s">
        <v>84</v>
      </c>
    </row>
    <row r="82" spans="1:7" x14ac:dyDescent="0.2">
      <c r="A82" s="74">
        <v>70</v>
      </c>
      <c r="B82" s="76" t="s">
        <v>91</v>
      </c>
      <c r="C82" s="74">
        <v>34976993601</v>
      </c>
      <c r="D82" s="76" t="s">
        <v>92</v>
      </c>
      <c r="E82" s="16">
        <f>245.61+199.96</f>
        <v>445.57000000000005</v>
      </c>
      <c r="F82" s="76" t="s">
        <v>9</v>
      </c>
      <c r="G82" s="28" t="s">
        <v>90</v>
      </c>
    </row>
    <row r="83" spans="1:7" ht="12.75" thickBot="1" x14ac:dyDescent="0.25">
      <c r="A83" s="75"/>
      <c r="B83" s="77"/>
      <c r="C83" s="75"/>
      <c r="D83" s="77"/>
      <c r="E83" s="18">
        <v>126.09</v>
      </c>
      <c r="F83" s="77"/>
      <c r="G83" s="29" t="s">
        <v>211</v>
      </c>
    </row>
    <row r="84" spans="1:7" x14ac:dyDescent="0.2">
      <c r="A84" s="34">
        <v>71</v>
      </c>
      <c r="B84" s="30" t="s">
        <v>15</v>
      </c>
      <c r="C84" s="34" t="s">
        <v>15</v>
      </c>
      <c r="D84" s="30" t="s">
        <v>15</v>
      </c>
      <c r="E84" s="17">
        <v>1744.93</v>
      </c>
      <c r="F84" s="30" t="s">
        <v>9</v>
      </c>
      <c r="G84" s="31" t="s">
        <v>93</v>
      </c>
    </row>
    <row r="85" spans="1:7" x14ac:dyDescent="0.2">
      <c r="A85" s="11">
        <v>72</v>
      </c>
      <c r="B85" s="5" t="s">
        <v>15</v>
      </c>
      <c r="C85" s="11" t="s">
        <v>15</v>
      </c>
      <c r="D85" s="5" t="s">
        <v>15</v>
      </c>
      <c r="E85" s="8">
        <v>46369.02</v>
      </c>
      <c r="F85" s="5" t="s">
        <v>9</v>
      </c>
      <c r="G85" s="2" t="s">
        <v>94</v>
      </c>
    </row>
    <row r="86" spans="1:7" x14ac:dyDescent="0.2">
      <c r="A86" s="11">
        <v>73</v>
      </c>
      <c r="B86" s="21" t="s">
        <v>103</v>
      </c>
      <c r="C86" s="22">
        <v>81793146560</v>
      </c>
      <c r="D86" s="21" t="s">
        <v>104</v>
      </c>
      <c r="E86" s="8">
        <f>16.8+2114.16</f>
        <v>2130.96</v>
      </c>
      <c r="F86" s="5" t="s">
        <v>9</v>
      </c>
      <c r="G86" s="2" t="s">
        <v>212</v>
      </c>
    </row>
    <row r="87" spans="1:7" x14ac:dyDescent="0.2">
      <c r="A87" s="11">
        <v>74</v>
      </c>
      <c r="B87" s="5" t="s">
        <v>108</v>
      </c>
      <c r="C87" s="11">
        <v>46163832762</v>
      </c>
      <c r="D87" s="5" t="s">
        <v>151</v>
      </c>
      <c r="E87" s="8">
        <v>179.01</v>
      </c>
      <c r="F87" s="5" t="s">
        <v>9</v>
      </c>
      <c r="G87" s="2" t="s">
        <v>84</v>
      </c>
    </row>
    <row r="88" spans="1:7" x14ac:dyDescent="0.2">
      <c r="A88" s="11">
        <v>75</v>
      </c>
      <c r="B88" s="5" t="s">
        <v>110</v>
      </c>
      <c r="C88" s="11">
        <v>41412434130</v>
      </c>
      <c r="D88" s="5" t="s">
        <v>147</v>
      </c>
      <c r="E88" s="8">
        <v>71.98</v>
      </c>
      <c r="F88" s="5" t="s">
        <v>9</v>
      </c>
      <c r="G88" s="2" t="s">
        <v>84</v>
      </c>
    </row>
    <row r="89" spans="1:7" x14ac:dyDescent="0.2">
      <c r="A89" s="11">
        <v>76</v>
      </c>
      <c r="B89" s="5" t="s">
        <v>112</v>
      </c>
      <c r="C89" s="12" t="s">
        <v>152</v>
      </c>
      <c r="D89" s="5" t="s">
        <v>153</v>
      </c>
      <c r="E89" s="8">
        <f>158.7+88.21</f>
        <v>246.90999999999997</v>
      </c>
      <c r="F89" s="5" t="s">
        <v>9</v>
      </c>
      <c r="G89" s="2" t="s">
        <v>84</v>
      </c>
    </row>
    <row r="90" spans="1:7" x14ac:dyDescent="0.2">
      <c r="A90" s="11">
        <v>77</v>
      </c>
      <c r="B90" s="5" t="s">
        <v>114</v>
      </c>
      <c r="C90" s="11" t="s">
        <v>432</v>
      </c>
      <c r="D90" s="5" t="s">
        <v>432</v>
      </c>
      <c r="E90" s="8">
        <v>1940</v>
      </c>
      <c r="F90" s="5" t="s">
        <v>9</v>
      </c>
      <c r="G90" s="2" t="s">
        <v>115</v>
      </c>
    </row>
    <row r="91" spans="1:7" x14ac:dyDescent="0.2">
      <c r="A91" s="11">
        <v>78</v>
      </c>
      <c r="B91" s="5" t="s">
        <v>879</v>
      </c>
      <c r="C91" s="11">
        <v>55175013491</v>
      </c>
      <c r="D91" s="5" t="s">
        <v>880</v>
      </c>
      <c r="E91" s="8">
        <v>3723.6</v>
      </c>
      <c r="F91" s="5" t="s">
        <v>9</v>
      </c>
      <c r="G91" s="2" t="s">
        <v>21</v>
      </c>
    </row>
    <row r="92" spans="1:7" x14ac:dyDescent="0.2">
      <c r="A92" s="11">
        <v>79</v>
      </c>
      <c r="B92" s="19" t="s">
        <v>617</v>
      </c>
      <c r="C92" s="39">
        <v>13278612358</v>
      </c>
      <c r="D92" s="19" t="s">
        <v>618</v>
      </c>
      <c r="E92" s="8">
        <f>400+800</f>
        <v>1200</v>
      </c>
      <c r="F92" s="5" t="s">
        <v>9</v>
      </c>
      <c r="G92" s="2" t="s">
        <v>178</v>
      </c>
    </row>
    <row r="93" spans="1:7" x14ac:dyDescent="0.2">
      <c r="A93" s="11">
        <v>80</v>
      </c>
      <c r="B93" s="5" t="s">
        <v>590</v>
      </c>
      <c r="C93" s="11">
        <v>58421021869</v>
      </c>
      <c r="D93" s="5" t="s">
        <v>591</v>
      </c>
      <c r="E93" s="8">
        <f>4000</f>
        <v>4000</v>
      </c>
      <c r="F93" s="5" t="s">
        <v>9</v>
      </c>
      <c r="G93" s="2" t="s">
        <v>21</v>
      </c>
    </row>
    <row r="94" spans="1:7" x14ac:dyDescent="0.2">
      <c r="A94" s="11">
        <v>81</v>
      </c>
      <c r="B94" s="19" t="s">
        <v>597</v>
      </c>
      <c r="C94" s="33">
        <v>78131970792</v>
      </c>
      <c r="D94" s="19" t="s">
        <v>598</v>
      </c>
      <c r="E94" s="8">
        <v>1725</v>
      </c>
      <c r="F94" s="5" t="s">
        <v>9</v>
      </c>
      <c r="G94" s="2" t="s">
        <v>178</v>
      </c>
    </row>
    <row r="95" spans="1:7" x14ac:dyDescent="0.2">
      <c r="A95" s="11">
        <v>82</v>
      </c>
      <c r="B95" s="19" t="s">
        <v>800</v>
      </c>
      <c r="C95" s="33">
        <v>80201525824</v>
      </c>
      <c r="D95" s="19" t="s">
        <v>801</v>
      </c>
      <c r="E95" s="8">
        <v>226.13</v>
      </c>
      <c r="F95" s="5" t="s">
        <v>9</v>
      </c>
      <c r="G95" s="2" t="s">
        <v>21</v>
      </c>
    </row>
    <row r="96" spans="1:7" x14ac:dyDescent="0.2">
      <c r="A96" s="11">
        <v>83</v>
      </c>
      <c r="B96" s="19" t="s">
        <v>1346</v>
      </c>
      <c r="C96" s="33">
        <v>75823619300</v>
      </c>
      <c r="D96" s="19" t="s">
        <v>1347</v>
      </c>
      <c r="E96" s="8">
        <v>30.45</v>
      </c>
      <c r="F96" s="5" t="s">
        <v>9</v>
      </c>
      <c r="G96" s="2" t="s">
        <v>21</v>
      </c>
    </row>
    <row r="97" spans="1:7" x14ac:dyDescent="0.2">
      <c r="A97" s="11">
        <v>84</v>
      </c>
      <c r="B97" s="5" t="s">
        <v>863</v>
      </c>
      <c r="C97" s="11">
        <v>34604734054</v>
      </c>
      <c r="D97" s="5" t="s">
        <v>864</v>
      </c>
      <c r="E97" s="8">
        <v>660</v>
      </c>
      <c r="F97" s="5" t="s">
        <v>9</v>
      </c>
      <c r="G97" s="2" t="s">
        <v>241</v>
      </c>
    </row>
    <row r="98" spans="1:7" x14ac:dyDescent="0.2">
      <c r="A98" s="11">
        <v>85</v>
      </c>
      <c r="B98" s="5" t="s">
        <v>366</v>
      </c>
      <c r="C98" s="11">
        <v>22911773746</v>
      </c>
      <c r="D98" s="5" t="s">
        <v>367</v>
      </c>
      <c r="E98" s="8">
        <v>1300</v>
      </c>
      <c r="F98" s="5" t="s">
        <v>9</v>
      </c>
      <c r="G98" s="2" t="s">
        <v>21</v>
      </c>
    </row>
    <row r="99" spans="1:7" x14ac:dyDescent="0.2">
      <c r="A99" s="11">
        <v>86</v>
      </c>
      <c r="B99" s="5" t="s">
        <v>1307</v>
      </c>
      <c r="C99" s="11" t="s">
        <v>1308</v>
      </c>
      <c r="D99" s="5" t="s">
        <v>1309</v>
      </c>
      <c r="E99" s="8">
        <v>75</v>
      </c>
      <c r="F99" s="5" t="s">
        <v>9</v>
      </c>
      <c r="G99" s="2" t="s">
        <v>21</v>
      </c>
    </row>
    <row r="100" spans="1:7" x14ac:dyDescent="0.2">
      <c r="A100" s="11">
        <v>87</v>
      </c>
      <c r="B100" s="5" t="s">
        <v>850</v>
      </c>
      <c r="C100" s="11">
        <v>18545665005</v>
      </c>
      <c r="D100" s="5" t="s">
        <v>352</v>
      </c>
      <c r="E100" s="8">
        <f>400</f>
        <v>400</v>
      </c>
      <c r="F100" s="5" t="s">
        <v>9</v>
      </c>
      <c r="G100" s="2" t="s">
        <v>21</v>
      </c>
    </row>
    <row r="101" spans="1:7" x14ac:dyDescent="0.2">
      <c r="A101" s="11">
        <v>88</v>
      </c>
      <c r="B101" s="5" t="s">
        <v>206</v>
      </c>
      <c r="C101" s="11">
        <v>64546066176</v>
      </c>
      <c r="D101" s="5" t="s">
        <v>207</v>
      </c>
      <c r="E101" s="8">
        <v>922.86</v>
      </c>
      <c r="F101" s="5" t="s">
        <v>9</v>
      </c>
      <c r="G101" s="2" t="s">
        <v>21</v>
      </c>
    </row>
    <row r="102" spans="1:7" x14ac:dyDescent="0.2">
      <c r="A102" s="11">
        <v>89</v>
      </c>
      <c r="B102" s="5" t="s">
        <v>1357</v>
      </c>
      <c r="C102" s="11">
        <v>15429488788</v>
      </c>
      <c r="D102" s="5" t="s">
        <v>97</v>
      </c>
      <c r="E102" s="8">
        <v>961</v>
      </c>
      <c r="F102" s="5" t="s">
        <v>9</v>
      </c>
      <c r="G102" s="2" t="s">
        <v>45</v>
      </c>
    </row>
    <row r="103" spans="1:7" x14ac:dyDescent="0.2">
      <c r="A103" s="11">
        <v>90</v>
      </c>
      <c r="B103" s="5" t="s">
        <v>1285</v>
      </c>
      <c r="C103" s="11">
        <v>36365310424</v>
      </c>
      <c r="D103" s="5" t="s">
        <v>771</v>
      </c>
      <c r="E103" s="8">
        <v>270.25</v>
      </c>
      <c r="F103" s="5" t="s">
        <v>9</v>
      </c>
      <c r="G103" s="2" t="s">
        <v>21</v>
      </c>
    </row>
    <row r="104" spans="1:7" x14ac:dyDescent="0.2">
      <c r="A104" s="11">
        <v>91</v>
      </c>
      <c r="B104" s="5" t="s">
        <v>444</v>
      </c>
      <c r="C104" s="11">
        <v>56290033854</v>
      </c>
      <c r="D104" s="5" t="s">
        <v>599</v>
      </c>
      <c r="E104" s="8">
        <v>143.44</v>
      </c>
      <c r="F104" s="5" t="s">
        <v>9</v>
      </c>
      <c r="G104" s="2" t="s">
        <v>132</v>
      </c>
    </row>
    <row r="105" spans="1:7" x14ac:dyDescent="0.2">
      <c r="A105" s="11">
        <v>92</v>
      </c>
      <c r="B105" s="5" t="s">
        <v>861</v>
      </c>
      <c r="C105" s="11">
        <v>88470929840</v>
      </c>
      <c r="D105" s="5" t="s">
        <v>862</v>
      </c>
      <c r="E105" s="8">
        <v>122.18</v>
      </c>
      <c r="F105" s="5" t="s">
        <v>9</v>
      </c>
      <c r="G105" s="2" t="s">
        <v>21</v>
      </c>
    </row>
    <row r="106" spans="1:7" x14ac:dyDescent="0.2">
      <c r="A106" s="11">
        <v>93</v>
      </c>
      <c r="B106" s="5" t="s">
        <v>869</v>
      </c>
      <c r="C106" s="12">
        <v>83910501982</v>
      </c>
      <c r="D106" s="5" t="s">
        <v>870</v>
      </c>
      <c r="E106" s="8">
        <v>77.28</v>
      </c>
      <c r="F106" s="5" t="s">
        <v>9</v>
      </c>
      <c r="G106" s="2" t="s">
        <v>21</v>
      </c>
    </row>
    <row r="107" spans="1:7" x14ac:dyDescent="0.2">
      <c r="A107" s="11">
        <v>94</v>
      </c>
      <c r="B107" s="5" t="s">
        <v>1190</v>
      </c>
      <c r="C107" s="11">
        <v>95446773917</v>
      </c>
      <c r="D107" s="5" t="s">
        <v>1191</v>
      </c>
      <c r="E107" s="8">
        <v>531.67999999999995</v>
      </c>
      <c r="F107" s="5" t="s">
        <v>9</v>
      </c>
      <c r="G107" s="2" t="s">
        <v>178</v>
      </c>
    </row>
    <row r="108" spans="1:7" x14ac:dyDescent="0.2">
      <c r="A108" s="11">
        <v>95</v>
      </c>
      <c r="B108" s="5" t="s">
        <v>877</v>
      </c>
      <c r="C108" s="11">
        <v>13534526502</v>
      </c>
      <c r="D108" s="5" t="s">
        <v>878</v>
      </c>
      <c r="E108" s="8">
        <v>560.73</v>
      </c>
      <c r="F108" s="5" t="s">
        <v>9</v>
      </c>
      <c r="G108" s="2" t="s">
        <v>21</v>
      </c>
    </row>
    <row r="109" spans="1:7" x14ac:dyDescent="0.2">
      <c r="A109" s="11">
        <v>96</v>
      </c>
      <c r="B109" s="5" t="s">
        <v>644</v>
      </c>
      <c r="C109" s="11">
        <v>51792060033</v>
      </c>
      <c r="D109" s="5" t="s">
        <v>913</v>
      </c>
      <c r="E109" s="8">
        <f>227.56+182.05</f>
        <v>409.61</v>
      </c>
      <c r="F109" s="5" t="s">
        <v>9</v>
      </c>
      <c r="G109" s="2" t="s">
        <v>21</v>
      </c>
    </row>
    <row r="110" spans="1:7" x14ac:dyDescent="0.2">
      <c r="A110" s="11">
        <v>97</v>
      </c>
      <c r="B110" s="5" t="s">
        <v>1474</v>
      </c>
      <c r="C110" s="11">
        <v>78170814407</v>
      </c>
      <c r="D110" s="5" t="s">
        <v>1475</v>
      </c>
      <c r="E110" s="8">
        <v>31.2</v>
      </c>
      <c r="F110" s="5" t="s">
        <v>9</v>
      </c>
      <c r="G110" s="2" t="s">
        <v>21</v>
      </c>
    </row>
    <row r="111" spans="1:7" x14ac:dyDescent="0.2">
      <c r="A111" s="11">
        <v>98</v>
      </c>
      <c r="B111" s="5" t="s">
        <v>1476</v>
      </c>
      <c r="C111" s="11">
        <v>48685654424</v>
      </c>
      <c r="D111" s="5" t="s">
        <v>1477</v>
      </c>
      <c r="E111" s="8">
        <v>7750</v>
      </c>
      <c r="F111" s="5" t="s">
        <v>9</v>
      </c>
      <c r="G111" s="2" t="s">
        <v>21</v>
      </c>
    </row>
    <row r="112" spans="1:7" x14ac:dyDescent="0.2">
      <c r="A112" s="11">
        <v>99</v>
      </c>
      <c r="B112" s="5" t="s">
        <v>1478</v>
      </c>
      <c r="C112" s="11">
        <v>42211007051</v>
      </c>
      <c r="D112" s="5" t="s">
        <v>1479</v>
      </c>
      <c r="E112" s="8">
        <v>775.45</v>
      </c>
      <c r="F112" s="5" t="s">
        <v>9</v>
      </c>
      <c r="G112" s="2" t="s">
        <v>211</v>
      </c>
    </row>
    <row r="113" spans="1:9" x14ac:dyDescent="0.2">
      <c r="A113" s="11">
        <v>100</v>
      </c>
      <c r="B113" s="5" t="s">
        <v>1480</v>
      </c>
      <c r="C113" s="11">
        <v>39135989747</v>
      </c>
      <c r="D113" s="5" t="s">
        <v>1481</v>
      </c>
      <c r="E113" s="8">
        <v>76.22</v>
      </c>
      <c r="F113" s="5" t="s">
        <v>9</v>
      </c>
      <c r="G113" s="2" t="s">
        <v>132</v>
      </c>
    </row>
    <row r="114" spans="1:9" x14ac:dyDescent="0.2">
      <c r="A114" s="11">
        <v>101</v>
      </c>
      <c r="B114" s="5" t="s">
        <v>378</v>
      </c>
      <c r="C114" s="11">
        <v>54527841697</v>
      </c>
      <c r="D114" s="5" t="s">
        <v>389</v>
      </c>
      <c r="E114" s="8">
        <f>437.5</f>
        <v>437.5</v>
      </c>
      <c r="F114" s="5" t="s">
        <v>9</v>
      </c>
      <c r="G114" s="2" t="s">
        <v>21</v>
      </c>
    </row>
    <row r="115" spans="1:9" x14ac:dyDescent="0.2">
      <c r="A115" s="11">
        <v>102</v>
      </c>
      <c r="B115" s="5" t="s">
        <v>74</v>
      </c>
      <c r="C115" s="12" t="s">
        <v>1377</v>
      </c>
      <c r="D115" s="5" t="s">
        <v>75</v>
      </c>
      <c r="E115" s="8">
        <v>836.34</v>
      </c>
      <c r="F115" s="5" t="s">
        <v>9</v>
      </c>
      <c r="G115" s="2" t="s">
        <v>45</v>
      </c>
    </row>
    <row r="116" spans="1:9" x14ac:dyDescent="0.2">
      <c r="A116" s="11">
        <v>103</v>
      </c>
      <c r="B116" s="5" t="s">
        <v>322</v>
      </c>
      <c r="C116" s="11">
        <v>85828625994</v>
      </c>
      <c r="D116" s="5" t="s">
        <v>323</v>
      </c>
      <c r="E116" s="8">
        <v>527.71</v>
      </c>
      <c r="F116" s="5" t="s">
        <v>9</v>
      </c>
      <c r="G116" s="2" t="s">
        <v>318</v>
      </c>
    </row>
    <row r="117" spans="1:9" x14ac:dyDescent="0.2">
      <c r="A117" s="11">
        <v>104</v>
      </c>
      <c r="B117" s="5" t="s">
        <v>346</v>
      </c>
      <c r="C117" s="11">
        <v>79506290597</v>
      </c>
      <c r="D117" s="5" t="s">
        <v>348</v>
      </c>
      <c r="E117" s="8">
        <v>80.14</v>
      </c>
      <c r="F117" s="5" t="s">
        <v>9</v>
      </c>
      <c r="G117" s="2" t="s">
        <v>347</v>
      </c>
    </row>
    <row r="118" spans="1:9" x14ac:dyDescent="0.2">
      <c r="A118" s="11">
        <v>105</v>
      </c>
      <c r="B118" s="5" t="s">
        <v>1429</v>
      </c>
      <c r="C118" s="11">
        <v>88137585457</v>
      </c>
      <c r="D118" s="5" t="s">
        <v>948</v>
      </c>
      <c r="E118" s="8">
        <v>1176.7</v>
      </c>
      <c r="F118" s="5" t="s">
        <v>9</v>
      </c>
      <c r="G118" s="2" t="s">
        <v>21</v>
      </c>
    </row>
    <row r="119" spans="1:9" x14ac:dyDescent="0.2">
      <c r="A119" s="11">
        <v>106</v>
      </c>
      <c r="B119" s="5" t="s">
        <v>648</v>
      </c>
      <c r="C119" s="11">
        <v>25339023257</v>
      </c>
      <c r="D119" s="5" t="s">
        <v>649</v>
      </c>
      <c r="E119" s="8">
        <v>2011.53</v>
      </c>
      <c r="F119" s="5" t="s">
        <v>9</v>
      </c>
      <c r="G119" s="2" t="s">
        <v>21</v>
      </c>
    </row>
    <row r="120" spans="1:9" x14ac:dyDescent="0.2">
      <c r="A120" s="11">
        <v>107</v>
      </c>
      <c r="B120" s="5" t="s">
        <v>466</v>
      </c>
      <c r="C120" s="11">
        <v>30568370357</v>
      </c>
      <c r="D120" s="5" t="s">
        <v>467</v>
      </c>
      <c r="E120" s="15">
        <f>177.5</f>
        <v>177.5</v>
      </c>
      <c r="F120" s="19" t="s">
        <v>9</v>
      </c>
      <c r="G120" s="26" t="s">
        <v>211</v>
      </c>
    </row>
    <row r="121" spans="1:9" x14ac:dyDescent="0.2">
      <c r="A121" s="11">
        <v>108</v>
      </c>
      <c r="B121" s="19" t="s">
        <v>1383</v>
      </c>
      <c r="C121" s="33">
        <v>20043484292</v>
      </c>
      <c r="D121" s="19" t="s">
        <v>1384</v>
      </c>
      <c r="E121" s="8">
        <v>11.04</v>
      </c>
      <c r="F121" s="5" t="s">
        <v>9</v>
      </c>
      <c r="G121" s="2" t="s">
        <v>241</v>
      </c>
    </row>
    <row r="122" spans="1:9" x14ac:dyDescent="0.2">
      <c r="A122" s="11">
        <v>109</v>
      </c>
      <c r="B122" s="21" t="s">
        <v>1419</v>
      </c>
      <c r="C122" s="22">
        <v>22248533094</v>
      </c>
      <c r="D122" s="21" t="s">
        <v>1420</v>
      </c>
      <c r="E122" s="8">
        <v>47.5</v>
      </c>
      <c r="F122" s="5" t="s">
        <v>9</v>
      </c>
      <c r="G122" s="2" t="s">
        <v>21</v>
      </c>
    </row>
    <row r="123" spans="1:9" x14ac:dyDescent="0.2">
      <c r="A123" s="11">
        <v>110</v>
      </c>
      <c r="B123" s="5" t="s">
        <v>993</v>
      </c>
      <c r="C123" s="11">
        <v>29035933600</v>
      </c>
      <c r="D123" s="5" t="s">
        <v>317</v>
      </c>
      <c r="E123" s="8">
        <v>35.56</v>
      </c>
      <c r="F123" s="5" t="s">
        <v>9</v>
      </c>
      <c r="G123" s="2" t="s">
        <v>195</v>
      </c>
    </row>
    <row r="124" spans="1:9" x14ac:dyDescent="0.2">
      <c r="A124" s="11">
        <v>111</v>
      </c>
      <c r="B124" s="5" t="s">
        <v>215</v>
      </c>
      <c r="C124" s="11">
        <v>83416546499</v>
      </c>
      <c r="D124" s="5" t="s">
        <v>218</v>
      </c>
      <c r="E124" s="8">
        <v>37.49</v>
      </c>
      <c r="F124" s="5" t="s">
        <v>9</v>
      </c>
      <c r="G124" s="2" t="s">
        <v>47</v>
      </c>
    </row>
    <row r="125" spans="1:9" x14ac:dyDescent="0.2">
      <c r="A125" s="11">
        <v>112</v>
      </c>
      <c r="B125" s="36" t="s">
        <v>656</v>
      </c>
      <c r="C125" s="35">
        <v>35082328665</v>
      </c>
      <c r="D125" s="36" t="s">
        <v>185</v>
      </c>
      <c r="E125" s="15">
        <v>3500</v>
      </c>
      <c r="F125" s="19" t="s">
        <v>9</v>
      </c>
      <c r="G125" s="26" t="s">
        <v>21</v>
      </c>
    </row>
    <row r="126" spans="1:9" x14ac:dyDescent="0.2">
      <c r="A126" s="11">
        <v>113</v>
      </c>
      <c r="B126" s="21" t="s">
        <v>127</v>
      </c>
      <c r="C126" s="22">
        <v>87682591133</v>
      </c>
      <c r="D126" s="21" t="s">
        <v>164</v>
      </c>
      <c r="E126" s="15">
        <f>2100+3058.3</f>
        <v>5158.3</v>
      </c>
      <c r="F126" s="21" t="s">
        <v>9</v>
      </c>
      <c r="G126" s="26" t="s">
        <v>21</v>
      </c>
      <c r="I126" s="13"/>
    </row>
    <row r="127" spans="1:9" x14ac:dyDescent="0.2">
      <c r="A127" s="11">
        <v>114</v>
      </c>
      <c r="B127" s="61" t="s">
        <v>128</v>
      </c>
      <c r="C127" s="11">
        <v>19849957757</v>
      </c>
      <c r="D127" s="61" t="s">
        <v>166</v>
      </c>
      <c r="E127" s="8">
        <f>10776.93+409.33</f>
        <v>11186.26</v>
      </c>
      <c r="F127" s="61" t="s">
        <v>9</v>
      </c>
      <c r="G127" s="2" t="s">
        <v>21</v>
      </c>
    </row>
    <row r="128" spans="1:9" x14ac:dyDescent="0.2">
      <c r="A128" s="11">
        <v>115</v>
      </c>
      <c r="B128" s="5" t="s">
        <v>426</v>
      </c>
      <c r="C128" s="11">
        <v>85821130368</v>
      </c>
      <c r="D128" s="5" t="s">
        <v>427</v>
      </c>
      <c r="E128" s="8">
        <v>81.3</v>
      </c>
      <c r="F128" s="25" t="s">
        <v>9</v>
      </c>
      <c r="G128" s="2" t="s">
        <v>132</v>
      </c>
    </row>
    <row r="129" spans="1:9" x14ac:dyDescent="0.2">
      <c r="A129" s="11">
        <v>116</v>
      </c>
      <c r="B129" s="5" t="s">
        <v>15</v>
      </c>
      <c r="C129" s="11" t="s">
        <v>15</v>
      </c>
      <c r="D129" s="5" t="s">
        <v>15</v>
      </c>
      <c r="E129" s="8">
        <v>6505.05</v>
      </c>
      <c r="F129" s="5" t="s">
        <v>9</v>
      </c>
      <c r="G129" s="2" t="s">
        <v>133</v>
      </c>
    </row>
    <row r="130" spans="1:9" x14ac:dyDescent="0.2">
      <c r="A130" s="11">
        <v>117</v>
      </c>
      <c r="B130" s="19" t="s">
        <v>15</v>
      </c>
      <c r="C130" s="33" t="s">
        <v>15</v>
      </c>
      <c r="D130" s="19" t="s">
        <v>15</v>
      </c>
      <c r="E130" s="15">
        <f>3671.2+400</f>
        <v>4071.2</v>
      </c>
      <c r="F130" s="19" t="s">
        <v>9</v>
      </c>
      <c r="G130" s="26" t="s">
        <v>134</v>
      </c>
    </row>
    <row r="131" spans="1:9" x14ac:dyDescent="0.2">
      <c r="A131" s="11">
        <v>118</v>
      </c>
      <c r="B131" s="5" t="s">
        <v>139</v>
      </c>
      <c r="C131" s="11">
        <v>22694857747</v>
      </c>
      <c r="D131" s="5" t="s">
        <v>174</v>
      </c>
      <c r="E131" s="8">
        <f>241.73+289.8+1025.95</f>
        <v>1557.48</v>
      </c>
      <c r="F131" s="5" t="s">
        <v>9</v>
      </c>
      <c r="G131" s="2" t="s">
        <v>140</v>
      </c>
    </row>
    <row r="132" spans="1:9" x14ac:dyDescent="0.2">
      <c r="A132" s="11">
        <v>119</v>
      </c>
      <c r="B132" s="5" t="s">
        <v>169</v>
      </c>
      <c r="C132" s="11">
        <v>62969535840</v>
      </c>
      <c r="D132" s="5" t="s">
        <v>170</v>
      </c>
      <c r="E132" s="20">
        <f>6.34</f>
        <v>6.34</v>
      </c>
      <c r="F132" s="36" t="s">
        <v>9</v>
      </c>
      <c r="G132" s="37" t="s">
        <v>21</v>
      </c>
    </row>
    <row r="133" spans="1:9" x14ac:dyDescent="0.2">
      <c r="A133" s="11">
        <v>120</v>
      </c>
      <c r="B133" s="5" t="s">
        <v>420</v>
      </c>
      <c r="C133" s="11">
        <v>11294943436</v>
      </c>
      <c r="D133" s="5" t="s">
        <v>421</v>
      </c>
      <c r="E133" s="8">
        <v>91.65</v>
      </c>
      <c r="F133" s="5" t="s">
        <v>9</v>
      </c>
      <c r="G133" s="2" t="s">
        <v>84</v>
      </c>
    </row>
    <row r="134" spans="1:9" x14ac:dyDescent="0.2">
      <c r="A134" s="11">
        <v>121</v>
      </c>
      <c r="B134" s="5" t="s">
        <v>15</v>
      </c>
      <c r="C134" s="11" t="s">
        <v>15</v>
      </c>
      <c r="D134" s="5" t="s">
        <v>15</v>
      </c>
      <c r="E134" s="8">
        <v>179.52</v>
      </c>
      <c r="F134" s="5" t="s">
        <v>9</v>
      </c>
      <c r="G134" s="2" t="s">
        <v>700</v>
      </c>
    </row>
    <row r="135" spans="1:9" x14ac:dyDescent="0.2">
      <c r="A135" s="11">
        <v>122</v>
      </c>
      <c r="B135" s="5" t="s">
        <v>15</v>
      </c>
      <c r="C135" s="11" t="s">
        <v>15</v>
      </c>
      <c r="D135" s="5" t="s">
        <v>15</v>
      </c>
      <c r="E135" s="8">
        <v>410.22</v>
      </c>
      <c r="F135" s="5" t="s">
        <v>9</v>
      </c>
      <c r="G135" s="2" t="s">
        <v>146</v>
      </c>
    </row>
    <row r="136" spans="1:9" x14ac:dyDescent="0.2">
      <c r="A136" s="11">
        <v>123</v>
      </c>
      <c r="B136" s="5" t="s">
        <v>177</v>
      </c>
      <c r="C136" s="11">
        <v>49800593791</v>
      </c>
      <c r="D136" s="5" t="s">
        <v>179</v>
      </c>
      <c r="E136" s="8">
        <v>2134.0100000000002</v>
      </c>
      <c r="F136" s="5" t="s">
        <v>9</v>
      </c>
      <c r="G136" s="2" t="s">
        <v>1289</v>
      </c>
    </row>
    <row r="137" spans="1:9" x14ac:dyDescent="0.2">
      <c r="A137" s="11">
        <v>124</v>
      </c>
      <c r="B137" s="40" t="s">
        <v>182</v>
      </c>
      <c r="C137" s="41">
        <v>47428597158</v>
      </c>
      <c r="D137" s="40" t="s">
        <v>184</v>
      </c>
      <c r="E137" s="8">
        <v>1764.15</v>
      </c>
      <c r="F137" s="40" t="s">
        <v>9</v>
      </c>
      <c r="G137" s="2" t="s">
        <v>703</v>
      </c>
      <c r="I137" s="13"/>
    </row>
    <row r="138" spans="1:9" x14ac:dyDescent="0.2">
      <c r="A138" s="11">
        <v>125</v>
      </c>
      <c r="B138" s="5" t="s">
        <v>186</v>
      </c>
      <c r="C138" s="12" t="s">
        <v>188</v>
      </c>
      <c r="D138" s="5" t="s">
        <v>187</v>
      </c>
      <c r="E138" s="8">
        <f>36.26+197.56</f>
        <v>233.82</v>
      </c>
      <c r="F138" s="5" t="s">
        <v>9</v>
      </c>
      <c r="G138" s="2" t="s">
        <v>84</v>
      </c>
    </row>
    <row r="139" spans="1:9" x14ac:dyDescent="0.2">
      <c r="A139" s="11">
        <v>126</v>
      </c>
      <c r="B139" s="5" t="s">
        <v>513</v>
      </c>
      <c r="C139" s="11">
        <v>73294314024</v>
      </c>
      <c r="D139" s="5" t="s">
        <v>402</v>
      </c>
      <c r="E139" s="8">
        <f>254.34+2.73</f>
        <v>257.07</v>
      </c>
      <c r="F139" s="5" t="s">
        <v>9</v>
      </c>
      <c r="G139" s="2" t="s">
        <v>401</v>
      </c>
    </row>
    <row r="140" spans="1:9" x14ac:dyDescent="0.2">
      <c r="A140" s="11">
        <v>127</v>
      </c>
      <c r="B140" s="5" t="s">
        <v>197</v>
      </c>
      <c r="C140" s="11">
        <v>63988426425</v>
      </c>
      <c r="D140" s="5" t="s">
        <v>198</v>
      </c>
      <c r="E140" s="8">
        <f>7566.95+6592.81+1230+18280.13+2026.56</f>
        <v>35696.449999999997</v>
      </c>
      <c r="F140" s="5" t="s">
        <v>9</v>
      </c>
      <c r="G140" s="2" t="s">
        <v>21</v>
      </c>
    </row>
    <row r="141" spans="1:9" x14ac:dyDescent="0.2">
      <c r="A141" s="11">
        <v>128</v>
      </c>
      <c r="B141" s="21" t="s">
        <v>102</v>
      </c>
      <c r="C141" s="22">
        <v>70133616033</v>
      </c>
      <c r="D141" s="21" t="s">
        <v>105</v>
      </c>
      <c r="E141" s="8">
        <v>2417.5300000000002</v>
      </c>
      <c r="F141" s="5" t="s">
        <v>9</v>
      </c>
      <c r="G141" s="2" t="s">
        <v>212</v>
      </c>
    </row>
    <row r="142" spans="1:9" x14ac:dyDescent="0.2">
      <c r="A142" s="11">
        <v>129</v>
      </c>
      <c r="B142" s="5" t="s">
        <v>219</v>
      </c>
      <c r="C142" s="11">
        <v>60314119747</v>
      </c>
      <c r="D142" s="5" t="s">
        <v>217</v>
      </c>
      <c r="E142" s="8">
        <v>70084.509999999995</v>
      </c>
      <c r="F142" s="5" t="s">
        <v>9</v>
      </c>
      <c r="G142" s="2" t="s">
        <v>21</v>
      </c>
    </row>
    <row r="143" spans="1:9" x14ac:dyDescent="0.2">
      <c r="A143" s="11">
        <v>130</v>
      </c>
      <c r="B143" s="5" t="s">
        <v>226</v>
      </c>
      <c r="C143" s="12" t="s">
        <v>228</v>
      </c>
      <c r="D143" s="5" t="s">
        <v>227</v>
      </c>
      <c r="E143" s="8">
        <f>1600+1000+1175</f>
        <v>3775</v>
      </c>
      <c r="F143" s="5" t="s">
        <v>9</v>
      </c>
      <c r="G143" s="2" t="s">
        <v>21</v>
      </c>
    </row>
    <row r="144" spans="1:9" x14ac:dyDescent="0.2">
      <c r="A144" s="11">
        <v>131</v>
      </c>
      <c r="B144" s="5" t="s">
        <v>229</v>
      </c>
      <c r="C144" s="11">
        <v>95243482140</v>
      </c>
      <c r="D144" s="5" t="s">
        <v>230</v>
      </c>
      <c r="E144" s="8">
        <f>474.87</f>
        <v>474.87</v>
      </c>
      <c r="F144" s="5" t="s">
        <v>9</v>
      </c>
      <c r="G144" s="2" t="s">
        <v>21</v>
      </c>
    </row>
    <row r="145" spans="1:7" x14ac:dyDescent="0.2">
      <c r="A145" s="11">
        <v>132</v>
      </c>
      <c r="B145" s="5" t="s">
        <v>505</v>
      </c>
      <c r="C145" s="11">
        <v>57270798205</v>
      </c>
      <c r="D145" s="5" t="s">
        <v>506</v>
      </c>
      <c r="E145" s="8">
        <v>498.56</v>
      </c>
      <c r="F145" s="5" t="s">
        <v>9</v>
      </c>
      <c r="G145" s="2" t="s">
        <v>11</v>
      </c>
    </row>
    <row r="146" spans="1:7" x14ac:dyDescent="0.2">
      <c r="A146" s="11">
        <v>133</v>
      </c>
      <c r="B146" s="5" t="s">
        <v>66</v>
      </c>
      <c r="C146" s="11">
        <v>42889250808</v>
      </c>
      <c r="D146" s="5" t="s">
        <v>68</v>
      </c>
      <c r="E146" s="8">
        <v>116.64</v>
      </c>
      <c r="F146" s="5" t="s">
        <v>9</v>
      </c>
      <c r="G146" s="2" t="s">
        <v>64</v>
      </c>
    </row>
    <row r="147" spans="1:7" ht="12.75" thickBot="1" x14ac:dyDescent="0.25">
      <c r="A147" s="11">
        <v>134</v>
      </c>
      <c r="B147" s="5" t="s">
        <v>131</v>
      </c>
      <c r="C147" s="11">
        <v>79517545745</v>
      </c>
      <c r="D147" s="5" t="s">
        <v>167</v>
      </c>
      <c r="E147" s="8">
        <v>61.85</v>
      </c>
      <c r="F147" s="5" t="s">
        <v>9</v>
      </c>
      <c r="G147" s="2" t="s">
        <v>132</v>
      </c>
    </row>
    <row r="148" spans="1:7" x14ac:dyDescent="0.2">
      <c r="A148" s="74">
        <v>135</v>
      </c>
      <c r="B148" s="76" t="s">
        <v>269</v>
      </c>
      <c r="C148" s="74">
        <v>48249084626</v>
      </c>
      <c r="D148" s="76" t="s">
        <v>270</v>
      </c>
      <c r="E148" s="16">
        <f>141.98</f>
        <v>141.97999999999999</v>
      </c>
      <c r="F148" s="76" t="s">
        <v>9</v>
      </c>
      <c r="G148" s="28" t="s">
        <v>21</v>
      </c>
    </row>
    <row r="149" spans="1:7" ht="12.75" thickBot="1" x14ac:dyDescent="0.25">
      <c r="A149" s="75"/>
      <c r="B149" s="77"/>
      <c r="C149" s="75"/>
      <c r="D149" s="77"/>
      <c r="E149" s="18">
        <v>531.86</v>
      </c>
      <c r="F149" s="77"/>
      <c r="G149" s="29" t="s">
        <v>116</v>
      </c>
    </row>
    <row r="150" spans="1:7" x14ac:dyDescent="0.2">
      <c r="A150" s="34">
        <v>136</v>
      </c>
      <c r="B150" s="30" t="s">
        <v>267</v>
      </c>
      <c r="C150" s="34">
        <v>64021574271</v>
      </c>
      <c r="D150" s="30" t="s">
        <v>268</v>
      </c>
      <c r="E150" s="17">
        <v>257.75</v>
      </c>
      <c r="F150" s="30" t="s">
        <v>9</v>
      </c>
      <c r="G150" s="31" t="s">
        <v>21</v>
      </c>
    </row>
    <row r="151" spans="1:7" x14ac:dyDescent="0.2">
      <c r="A151" s="11">
        <v>137</v>
      </c>
      <c r="B151" s="5" t="s">
        <v>277</v>
      </c>
      <c r="C151" s="11">
        <v>60365429880</v>
      </c>
      <c r="D151" s="5" t="s">
        <v>278</v>
      </c>
      <c r="E151" s="8">
        <f>286.56</f>
        <v>286.56</v>
      </c>
      <c r="F151" s="5" t="s">
        <v>9</v>
      </c>
      <c r="G151" s="2" t="s">
        <v>21</v>
      </c>
    </row>
    <row r="152" spans="1:7" x14ac:dyDescent="0.2">
      <c r="A152" s="11">
        <v>138</v>
      </c>
      <c r="B152" s="5" t="s">
        <v>283</v>
      </c>
      <c r="C152" s="11">
        <v>39048902955</v>
      </c>
      <c r="D152" s="5" t="s">
        <v>284</v>
      </c>
      <c r="E152" s="8">
        <v>566.92999999999995</v>
      </c>
      <c r="F152" s="5" t="s">
        <v>9</v>
      </c>
      <c r="G152" s="2" t="s">
        <v>47</v>
      </c>
    </row>
    <row r="153" spans="1:7" x14ac:dyDescent="0.2">
      <c r="A153" s="11">
        <v>139</v>
      </c>
      <c r="B153" s="5" t="s">
        <v>285</v>
      </c>
      <c r="C153" s="11">
        <v>85375838060</v>
      </c>
      <c r="D153" s="5" t="s">
        <v>286</v>
      </c>
      <c r="E153" s="8">
        <v>71.38</v>
      </c>
      <c r="F153" s="5" t="s">
        <v>9</v>
      </c>
      <c r="G153" s="2" t="s">
        <v>47</v>
      </c>
    </row>
    <row r="154" spans="1:7" x14ac:dyDescent="0.2">
      <c r="A154" s="11">
        <v>140</v>
      </c>
      <c r="B154" s="5" t="s">
        <v>287</v>
      </c>
      <c r="C154" s="11">
        <v>55614719992</v>
      </c>
      <c r="D154" s="5" t="s">
        <v>288</v>
      </c>
      <c r="E154" s="8">
        <f>1738.12+34.83</f>
        <v>1772.9499999999998</v>
      </c>
      <c r="F154" s="5" t="s">
        <v>9</v>
      </c>
      <c r="G154" s="2" t="s">
        <v>21</v>
      </c>
    </row>
    <row r="155" spans="1:7" x14ac:dyDescent="0.2">
      <c r="A155" s="11">
        <v>141</v>
      </c>
      <c r="B155" s="5" t="s">
        <v>809</v>
      </c>
      <c r="C155" s="11">
        <v>14273924910</v>
      </c>
      <c r="D155" s="5" t="s">
        <v>810</v>
      </c>
      <c r="E155" s="8">
        <f>2*483.75</f>
        <v>967.5</v>
      </c>
      <c r="F155" s="5" t="s">
        <v>9</v>
      </c>
      <c r="G155" s="2" t="s">
        <v>132</v>
      </c>
    </row>
    <row r="156" spans="1:7" x14ac:dyDescent="0.2">
      <c r="A156" s="11">
        <v>142</v>
      </c>
      <c r="B156" s="5" t="s">
        <v>311</v>
      </c>
      <c r="C156" s="11">
        <v>48841983787</v>
      </c>
      <c r="D156" s="5" t="s">
        <v>312</v>
      </c>
      <c r="E156" s="8">
        <v>1253</v>
      </c>
      <c r="F156" s="5" t="s">
        <v>9</v>
      </c>
      <c r="G156" s="2" t="s">
        <v>21</v>
      </c>
    </row>
    <row r="157" spans="1:7" x14ac:dyDescent="0.2">
      <c r="A157" s="11">
        <v>143</v>
      </c>
      <c r="B157" s="5" t="s">
        <v>549</v>
      </c>
      <c r="C157" s="11">
        <v>92712381028</v>
      </c>
      <c r="D157" s="5" t="s">
        <v>550</v>
      </c>
      <c r="E157" s="8">
        <v>248.71</v>
      </c>
      <c r="F157" s="5" t="s">
        <v>9</v>
      </c>
      <c r="G157" s="2" t="s">
        <v>21</v>
      </c>
    </row>
    <row r="158" spans="1:7" x14ac:dyDescent="0.2">
      <c r="A158" s="11">
        <v>144</v>
      </c>
      <c r="B158" s="5" t="s">
        <v>275</v>
      </c>
      <c r="C158" s="11">
        <v>76080865307</v>
      </c>
      <c r="D158" s="5" t="s">
        <v>276</v>
      </c>
      <c r="E158" s="8">
        <v>42.78</v>
      </c>
      <c r="F158" s="5" t="s">
        <v>9</v>
      </c>
      <c r="G158" s="2" t="s">
        <v>211</v>
      </c>
    </row>
    <row r="159" spans="1:7" x14ac:dyDescent="0.2">
      <c r="A159" s="11">
        <v>145</v>
      </c>
      <c r="B159" s="5" t="s">
        <v>243</v>
      </c>
      <c r="C159" s="12" t="s">
        <v>245</v>
      </c>
      <c r="D159" s="5" t="s">
        <v>244</v>
      </c>
      <c r="E159" s="8">
        <f>137+222.91+45+60</f>
        <v>464.90999999999997</v>
      </c>
      <c r="F159" s="5" t="s">
        <v>9</v>
      </c>
      <c r="G159" s="2" t="s">
        <v>241</v>
      </c>
    </row>
    <row r="160" spans="1:7" x14ac:dyDescent="0.2">
      <c r="A160" s="11">
        <v>146</v>
      </c>
      <c r="B160" s="5" t="s">
        <v>1482</v>
      </c>
      <c r="C160" s="11" t="s">
        <v>1483</v>
      </c>
      <c r="D160" s="5" t="s">
        <v>1484</v>
      </c>
      <c r="E160" s="8">
        <f>2*3370.06</f>
        <v>6740.12</v>
      </c>
      <c r="F160" s="5" t="s">
        <v>9</v>
      </c>
      <c r="G160" s="2" t="s">
        <v>116</v>
      </c>
    </row>
    <row r="161" spans="1:7" x14ac:dyDescent="0.2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42000</v>
      </c>
      <c r="F161" s="5" t="s">
        <v>9</v>
      </c>
      <c r="G161" s="2" t="s">
        <v>21</v>
      </c>
    </row>
    <row r="162" spans="1:7" x14ac:dyDescent="0.2">
      <c r="A162" s="11">
        <v>148</v>
      </c>
      <c r="B162" s="5" t="s">
        <v>1438</v>
      </c>
      <c r="C162" s="11">
        <v>25444746329</v>
      </c>
      <c r="D162" s="5" t="s">
        <v>1439</v>
      </c>
      <c r="E162" s="8">
        <v>20.239999999999998</v>
      </c>
      <c r="F162" s="5" t="s">
        <v>9</v>
      </c>
      <c r="G162" s="2" t="s">
        <v>64</v>
      </c>
    </row>
    <row r="163" spans="1:7" x14ac:dyDescent="0.2">
      <c r="A163" s="11">
        <v>149</v>
      </c>
      <c r="B163" s="5" t="s">
        <v>910</v>
      </c>
      <c r="C163" s="11">
        <v>59964152545</v>
      </c>
      <c r="D163" s="5" t="s">
        <v>156</v>
      </c>
      <c r="E163" s="8">
        <v>128.08000000000001</v>
      </c>
      <c r="F163" s="5" t="s">
        <v>9</v>
      </c>
      <c r="G163" s="2" t="s">
        <v>116</v>
      </c>
    </row>
    <row r="164" spans="1:7" x14ac:dyDescent="0.2">
      <c r="A164" s="11">
        <v>150</v>
      </c>
      <c r="B164" s="5" t="s">
        <v>415</v>
      </c>
      <c r="C164" s="11">
        <v>31826907316</v>
      </c>
      <c r="D164" s="5" t="s">
        <v>416</v>
      </c>
      <c r="E164" s="8">
        <v>5984.05</v>
      </c>
      <c r="F164" s="5" t="s">
        <v>9</v>
      </c>
      <c r="G164" s="2" t="s">
        <v>21</v>
      </c>
    </row>
    <row r="165" spans="1:7" x14ac:dyDescent="0.2">
      <c r="A165" s="11">
        <v>151</v>
      </c>
      <c r="B165" s="5" t="s">
        <v>342</v>
      </c>
      <c r="C165" s="11">
        <v>54482179263</v>
      </c>
      <c r="D165" s="5" t="s">
        <v>343</v>
      </c>
      <c r="E165" s="8">
        <v>61.72</v>
      </c>
      <c r="F165" s="5" t="s">
        <v>9</v>
      </c>
      <c r="G165" s="2" t="s">
        <v>21</v>
      </c>
    </row>
    <row r="166" spans="1:7" ht="12.75" customHeight="1" x14ac:dyDescent="0.2">
      <c r="A166" s="11">
        <v>152</v>
      </c>
      <c r="B166" s="5" t="s">
        <v>361</v>
      </c>
      <c r="C166" s="11">
        <v>32371574171</v>
      </c>
      <c r="D166" s="5" t="s">
        <v>362</v>
      </c>
      <c r="E166" s="8">
        <v>750</v>
      </c>
      <c r="F166" s="5" t="s">
        <v>9</v>
      </c>
      <c r="G166" s="2" t="s">
        <v>178</v>
      </c>
    </row>
    <row r="167" spans="1:7" x14ac:dyDescent="0.2">
      <c r="A167" s="11">
        <v>153</v>
      </c>
      <c r="B167" s="19" t="s">
        <v>1148</v>
      </c>
      <c r="C167" s="33">
        <v>48293321289</v>
      </c>
      <c r="D167" s="19" t="s">
        <v>1149</v>
      </c>
      <c r="E167" s="8">
        <v>3000</v>
      </c>
      <c r="F167" s="5" t="s">
        <v>9</v>
      </c>
      <c r="G167" s="2" t="s">
        <v>21</v>
      </c>
    </row>
    <row r="168" spans="1:7" x14ac:dyDescent="0.2">
      <c r="A168" s="11">
        <v>154</v>
      </c>
      <c r="B168" s="5" t="s">
        <v>313</v>
      </c>
      <c r="C168" s="11">
        <v>12443607100</v>
      </c>
      <c r="D168" s="5" t="s">
        <v>314</v>
      </c>
      <c r="E168" s="8">
        <v>211.5</v>
      </c>
      <c r="F168" s="5" t="s">
        <v>9</v>
      </c>
      <c r="G168" s="2" t="s">
        <v>21</v>
      </c>
    </row>
    <row r="169" spans="1:7" ht="5.25" customHeight="1" x14ac:dyDescent="0.2">
      <c r="A169" s="11"/>
      <c r="B169" s="5"/>
      <c r="C169" s="11"/>
      <c r="D169" s="5"/>
      <c r="E169" s="8"/>
      <c r="F169" s="5"/>
      <c r="G169" s="2"/>
    </row>
    <row r="171" spans="1:7" x14ac:dyDescent="0.2">
      <c r="D171" s="53" t="s">
        <v>1485</v>
      </c>
      <c r="E171" s="63">
        <f>SUM(E11:E169)</f>
        <v>2202098.5700000008</v>
      </c>
    </row>
  </sheetData>
  <sheetProtection algorithmName="SHA-512" hashValue="ZmXBrRs8RIeuMf1s/+oH5KiFfRBcOce9wiWtQgNJ/cZxwmApEc9eyAbwl+uX2cXiaFVRYisYgYi4Vq8rfD2LVg==" saltValue="ScHyyGLtaFTyz/6r/A+3Cw==" spinCount="100000" sheet="1" objects="1" scenarios="1" selectLockedCells="1" autoFilter="0" selectUnlockedCells="1"/>
  <autoFilter ref="A10:G168" xr:uid="{1CCF90C4-F2D3-4260-99E0-CB45048C1CDD}"/>
  <mergeCells count="23">
    <mergeCell ref="A148:A149"/>
    <mergeCell ref="B148:B149"/>
    <mergeCell ref="C148:C149"/>
    <mergeCell ref="D148:D149"/>
    <mergeCell ref="F148:F149"/>
    <mergeCell ref="A80:A81"/>
    <mergeCell ref="B80:B81"/>
    <mergeCell ref="C80:C81"/>
    <mergeCell ref="D80:D81"/>
    <mergeCell ref="F80:F81"/>
    <mergeCell ref="A82:A83"/>
    <mergeCell ref="B82:B83"/>
    <mergeCell ref="C82:C83"/>
    <mergeCell ref="D82:D83"/>
    <mergeCell ref="F82:F83"/>
    <mergeCell ref="A6:B6"/>
    <mergeCell ref="A7:B7"/>
    <mergeCell ref="C8:F8"/>
    <mergeCell ref="A32:A33"/>
    <mergeCell ref="B32:B33"/>
    <mergeCell ref="C32:C33"/>
    <mergeCell ref="D32:D33"/>
    <mergeCell ref="F32:F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4770-AA7B-411B-A5C0-73675F813C14}">
  <dimension ref="A1:G317"/>
  <sheetViews>
    <sheetView topLeftCell="A298" workbookViewId="0">
      <selection activeCell="B315" sqref="B315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2" t="s">
        <v>7</v>
      </c>
      <c r="B6" s="82"/>
      <c r="C6" s="10"/>
      <c r="D6" s="1"/>
      <c r="E6" s="13"/>
      <c r="F6" s="1"/>
      <c r="G6" s="1"/>
    </row>
    <row r="7" spans="1:7" x14ac:dyDescent="0.25">
      <c r="A7" s="82" t="s">
        <v>8</v>
      </c>
      <c r="B7" s="82"/>
      <c r="C7" s="10"/>
      <c r="D7" s="1"/>
      <c r="E7" s="13"/>
      <c r="F7" s="1"/>
      <c r="G7" s="1"/>
    </row>
    <row r="8" spans="1:7" x14ac:dyDescent="0.25">
      <c r="A8" s="23"/>
      <c r="B8" s="6"/>
      <c r="C8" s="83" t="s">
        <v>1486</v>
      </c>
      <c r="D8" s="83"/>
      <c r="E8" s="83"/>
      <c r="F8" s="83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614</v>
      </c>
      <c r="C12" s="11">
        <v>57845277445</v>
      </c>
      <c r="D12" s="5" t="s">
        <v>615</v>
      </c>
      <c r="E12" s="8">
        <v>218.75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57.19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1013</v>
      </c>
      <c r="C14" s="11">
        <v>94472454976</v>
      </c>
      <c r="D14" s="5" t="s">
        <v>1014</v>
      </c>
      <c r="E14" s="8">
        <v>6179.39</v>
      </c>
      <c r="F14" s="5" t="s">
        <v>9</v>
      </c>
      <c r="G14" s="2" t="s">
        <v>1015</v>
      </c>
    </row>
    <row r="15" spans="1:7" x14ac:dyDescent="0.25">
      <c r="A15" s="11">
        <v>5</v>
      </c>
      <c r="B15" s="5" t="s">
        <v>485</v>
      </c>
      <c r="C15" s="11">
        <v>52398663574</v>
      </c>
      <c r="D15" s="5" t="s">
        <v>484</v>
      </c>
      <c r="E15" s="8">
        <v>332</v>
      </c>
      <c r="F15" s="5" t="s">
        <v>9</v>
      </c>
      <c r="G15" s="2" t="s">
        <v>394</v>
      </c>
    </row>
    <row r="16" spans="1:7" ht="13.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74.4</f>
        <v>74.400000000000006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277.48+4.4</f>
        <v>281.88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f>55+110</f>
        <v>165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1496486.17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1000+985</f>
        <v>1985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73.69+178.32</f>
        <v>252.01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f>988.59+11.12</f>
        <v>999.71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v>1200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3725+8302.8</f>
        <v>12027.8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1487</v>
      </c>
      <c r="C28" s="11">
        <v>74290794499</v>
      </c>
      <c r="D28" s="5" t="s">
        <v>1488</v>
      </c>
      <c r="E28" s="8">
        <v>7</v>
      </c>
      <c r="F28" s="40" t="s">
        <v>9</v>
      </c>
      <c r="G28" s="2" t="s">
        <v>132</v>
      </c>
    </row>
    <row r="29" spans="1:7" x14ac:dyDescent="0.25">
      <c r="A29" s="11">
        <v>19</v>
      </c>
      <c r="B29" s="19" t="s">
        <v>1240</v>
      </c>
      <c r="C29" s="11" t="s">
        <v>1241</v>
      </c>
      <c r="D29" s="5" t="s">
        <v>1242</v>
      </c>
      <c r="E29" s="15">
        <v>7115.01</v>
      </c>
      <c r="F29" s="19" t="s">
        <v>9</v>
      </c>
      <c r="G29" s="26" t="s">
        <v>21</v>
      </c>
    </row>
    <row r="30" spans="1:7" x14ac:dyDescent="0.25">
      <c r="A30" s="11">
        <v>20</v>
      </c>
      <c r="B30" s="19" t="s">
        <v>42</v>
      </c>
      <c r="C30" s="33">
        <v>63073332379</v>
      </c>
      <c r="D30" s="19" t="s">
        <v>52</v>
      </c>
      <c r="E30" s="15">
        <v>2885.18</v>
      </c>
      <c r="F30" s="19" t="s">
        <v>9</v>
      </c>
      <c r="G30" s="26" t="s">
        <v>44</v>
      </c>
    </row>
    <row r="31" spans="1:7" x14ac:dyDescent="0.25">
      <c r="A31" s="11">
        <v>21</v>
      </c>
      <c r="B31" s="5" t="s">
        <v>503</v>
      </c>
      <c r="C31" s="11">
        <v>27712717103</v>
      </c>
      <c r="D31" s="5" t="s">
        <v>504</v>
      </c>
      <c r="E31" s="8">
        <f>5855.63+11711.26</f>
        <v>17566.89</v>
      </c>
      <c r="F31" s="40" t="s">
        <v>9</v>
      </c>
      <c r="G31" s="2" t="s">
        <v>64</v>
      </c>
    </row>
    <row r="32" spans="1:7" x14ac:dyDescent="0.25">
      <c r="A32" s="11">
        <v>22</v>
      </c>
      <c r="B32" s="19" t="s">
        <v>440</v>
      </c>
      <c r="C32" s="33">
        <v>44270699963</v>
      </c>
      <c r="D32" s="19" t="s">
        <v>441</v>
      </c>
      <c r="E32" s="15">
        <v>38.24</v>
      </c>
      <c r="F32" s="19" t="s">
        <v>9</v>
      </c>
      <c r="G32" s="26" t="s">
        <v>84</v>
      </c>
    </row>
    <row r="33" spans="1:7" x14ac:dyDescent="0.25">
      <c r="A33" s="11">
        <v>23</v>
      </c>
      <c r="B33" s="40" t="s">
        <v>55</v>
      </c>
      <c r="C33" s="41">
        <v>11471889269</v>
      </c>
      <c r="D33" s="40" t="s">
        <v>56</v>
      </c>
      <c r="E33" s="8">
        <v>4552.6400000000003</v>
      </c>
      <c r="F33" s="40" t="s">
        <v>9</v>
      </c>
      <c r="G33" s="2" t="s">
        <v>21</v>
      </c>
    </row>
    <row r="34" spans="1:7" x14ac:dyDescent="0.25">
      <c r="A34" s="11">
        <v>24</v>
      </c>
      <c r="B34" s="40" t="s">
        <v>57</v>
      </c>
      <c r="C34" s="41">
        <v>27759560625</v>
      </c>
      <c r="D34" s="40" t="s">
        <v>59</v>
      </c>
      <c r="E34" s="8">
        <v>5325.63</v>
      </c>
      <c r="F34" s="40" t="s">
        <v>9</v>
      </c>
      <c r="G34" s="2" t="s">
        <v>58</v>
      </c>
    </row>
    <row r="35" spans="1:7" x14ac:dyDescent="0.25">
      <c r="A35" s="11">
        <v>25</v>
      </c>
      <c r="B35" s="5" t="s">
        <v>456</v>
      </c>
      <c r="C35" s="11">
        <v>91367259285</v>
      </c>
      <c r="D35" s="5" t="s">
        <v>457</v>
      </c>
      <c r="E35" s="8">
        <v>265.3</v>
      </c>
      <c r="F35" s="5" t="s">
        <v>9</v>
      </c>
      <c r="G35" s="2" t="s">
        <v>116</v>
      </c>
    </row>
    <row r="36" spans="1:7" x14ac:dyDescent="0.25">
      <c r="A36" s="11">
        <v>26</v>
      </c>
      <c r="B36" s="5" t="s">
        <v>468</v>
      </c>
      <c r="C36" s="11">
        <v>21680443525</v>
      </c>
      <c r="D36" s="5" t="s">
        <v>469</v>
      </c>
      <c r="E36" s="8">
        <v>273.38</v>
      </c>
      <c r="F36" s="5" t="s">
        <v>9</v>
      </c>
      <c r="G36" s="2" t="s">
        <v>21</v>
      </c>
    </row>
    <row r="37" spans="1:7" x14ac:dyDescent="0.25">
      <c r="A37" s="11">
        <v>27</v>
      </c>
      <c r="B37" s="5" t="s">
        <v>368</v>
      </c>
      <c r="C37" s="12" t="s">
        <v>370</v>
      </c>
      <c r="D37" s="5" t="s">
        <v>1200</v>
      </c>
      <c r="E37" s="8">
        <f>1000+253+1620.31</f>
        <v>2873.31</v>
      </c>
      <c r="F37" s="5" t="s">
        <v>9</v>
      </c>
      <c r="G37" s="2" t="s">
        <v>21</v>
      </c>
    </row>
    <row r="38" spans="1:7" x14ac:dyDescent="0.25">
      <c r="A38" s="11">
        <v>28</v>
      </c>
      <c r="B38" s="40" t="s">
        <v>1213</v>
      </c>
      <c r="C38" s="41">
        <v>71642207963</v>
      </c>
      <c r="D38" s="40" t="s">
        <v>1214</v>
      </c>
      <c r="E38" s="8">
        <f>50.1+284.05</f>
        <v>334.15000000000003</v>
      </c>
      <c r="F38" s="5" t="s">
        <v>9</v>
      </c>
      <c r="G38" s="2" t="s">
        <v>21</v>
      </c>
    </row>
    <row r="39" spans="1:7" x14ac:dyDescent="0.25">
      <c r="A39" s="11">
        <v>29</v>
      </c>
      <c r="B39" s="5" t="s">
        <v>72</v>
      </c>
      <c r="C39" s="11" t="s">
        <v>15</v>
      </c>
      <c r="D39" s="5" t="s">
        <v>15</v>
      </c>
      <c r="E39" s="8">
        <v>310.24</v>
      </c>
      <c r="F39" s="5" t="s">
        <v>9</v>
      </c>
      <c r="G39" s="2" t="s">
        <v>71</v>
      </c>
    </row>
    <row r="40" spans="1:7" x14ac:dyDescent="0.25">
      <c r="A40" s="11">
        <v>30</v>
      </c>
      <c r="B40" s="5" t="s">
        <v>15</v>
      </c>
      <c r="C40" s="11" t="s">
        <v>15</v>
      </c>
      <c r="D40" s="5" t="s">
        <v>15</v>
      </c>
      <c r="E40" s="8">
        <f>540+2640</f>
        <v>3180</v>
      </c>
      <c r="F40" s="5" t="s">
        <v>9</v>
      </c>
      <c r="G40" s="2" t="s">
        <v>73</v>
      </c>
    </row>
    <row r="41" spans="1:7" x14ac:dyDescent="0.25">
      <c r="A41" s="11">
        <v>31</v>
      </c>
      <c r="B41" s="5" t="s">
        <v>422</v>
      </c>
      <c r="C41" s="11">
        <v>33813961569</v>
      </c>
      <c r="D41" s="5" t="s">
        <v>423</v>
      </c>
      <c r="E41" s="8">
        <v>244.33</v>
      </c>
      <c r="F41" s="5" t="s">
        <v>9</v>
      </c>
      <c r="G41" s="2" t="s">
        <v>84</v>
      </c>
    </row>
    <row r="42" spans="1:7" x14ac:dyDescent="0.25">
      <c r="A42" s="11">
        <v>32</v>
      </c>
      <c r="B42" s="5" t="s">
        <v>81</v>
      </c>
      <c r="C42" s="11">
        <v>32179081874</v>
      </c>
      <c r="D42" s="5" t="s">
        <v>82</v>
      </c>
      <c r="E42" s="15">
        <f>79.77+48.26+113.86</f>
        <v>241.89</v>
      </c>
      <c r="F42" s="19" t="s">
        <v>9</v>
      </c>
      <c r="G42" s="26" t="s">
        <v>21</v>
      </c>
    </row>
    <row r="43" spans="1:7" ht="15.75" thickBot="1" x14ac:dyDescent="0.3">
      <c r="A43" s="34">
        <v>33</v>
      </c>
      <c r="B43" s="21" t="s">
        <v>85</v>
      </c>
      <c r="C43" s="22">
        <v>76173743169</v>
      </c>
      <c r="D43" s="21" t="s">
        <v>83</v>
      </c>
      <c r="E43" s="8">
        <v>33.18</v>
      </c>
      <c r="F43" s="21" t="s">
        <v>9</v>
      </c>
      <c r="G43" s="2" t="s">
        <v>80</v>
      </c>
    </row>
    <row r="44" spans="1:7" x14ac:dyDescent="0.25">
      <c r="A44" s="74">
        <v>34</v>
      </c>
      <c r="B44" s="76" t="s">
        <v>91</v>
      </c>
      <c r="C44" s="74">
        <v>34976993601</v>
      </c>
      <c r="D44" s="76" t="s">
        <v>92</v>
      </c>
      <c r="E44" s="16">
        <f>237.97+341.46</f>
        <v>579.42999999999995</v>
      </c>
      <c r="F44" s="76" t="s">
        <v>9</v>
      </c>
      <c r="G44" s="28" t="s">
        <v>90</v>
      </c>
    </row>
    <row r="45" spans="1:7" ht="15.75" thickBot="1" x14ac:dyDescent="0.3">
      <c r="A45" s="75"/>
      <c r="B45" s="77"/>
      <c r="C45" s="75"/>
      <c r="D45" s="77"/>
      <c r="E45" s="18">
        <f>431.46+211.13</f>
        <v>642.58999999999992</v>
      </c>
      <c r="F45" s="77"/>
      <c r="G45" s="29" t="s">
        <v>211</v>
      </c>
    </row>
    <row r="46" spans="1:7" x14ac:dyDescent="0.25">
      <c r="A46" s="34">
        <v>35</v>
      </c>
      <c r="B46" s="30" t="s">
        <v>15</v>
      </c>
      <c r="C46" s="34" t="s">
        <v>15</v>
      </c>
      <c r="D46" s="30" t="s">
        <v>15</v>
      </c>
      <c r="E46" s="17">
        <v>1744.91</v>
      </c>
      <c r="F46" s="30" t="s">
        <v>9</v>
      </c>
      <c r="G46" s="31" t="s">
        <v>93</v>
      </c>
    </row>
    <row r="47" spans="1:7" x14ac:dyDescent="0.25">
      <c r="A47" s="11">
        <v>36</v>
      </c>
      <c r="B47" s="5" t="s">
        <v>15</v>
      </c>
      <c r="C47" s="11" t="s">
        <v>15</v>
      </c>
      <c r="D47" s="5" t="s">
        <v>15</v>
      </c>
      <c r="E47" s="8">
        <v>48650.97</v>
      </c>
      <c r="F47" s="5" t="s">
        <v>9</v>
      </c>
      <c r="G47" s="2" t="s">
        <v>94</v>
      </c>
    </row>
    <row r="48" spans="1:7" x14ac:dyDescent="0.25">
      <c r="A48" s="11">
        <v>37</v>
      </c>
      <c r="B48" s="5" t="s">
        <v>1489</v>
      </c>
      <c r="C48" s="11">
        <v>74956515628</v>
      </c>
      <c r="D48" s="5" t="s">
        <v>1490</v>
      </c>
      <c r="E48" s="8">
        <v>3761.28</v>
      </c>
      <c r="F48" s="5" t="s">
        <v>9</v>
      </c>
      <c r="G48" s="2" t="s">
        <v>21</v>
      </c>
    </row>
    <row r="49" spans="1:7" x14ac:dyDescent="0.25">
      <c r="A49" s="11">
        <v>38</v>
      </c>
      <c r="B49" s="5" t="s">
        <v>865</v>
      </c>
      <c r="C49" s="11">
        <v>64691033428</v>
      </c>
      <c r="D49" s="5" t="s">
        <v>866</v>
      </c>
      <c r="E49" s="8">
        <f>3387.5+193.96</f>
        <v>3581.46</v>
      </c>
      <c r="F49" s="21" t="s">
        <v>9</v>
      </c>
      <c r="G49" s="2" t="s">
        <v>21</v>
      </c>
    </row>
    <row r="50" spans="1:7" x14ac:dyDescent="0.25">
      <c r="A50" s="11">
        <v>39</v>
      </c>
      <c r="B50" s="21" t="s">
        <v>103</v>
      </c>
      <c r="C50" s="22">
        <v>81793146560</v>
      </c>
      <c r="D50" s="21" t="s">
        <v>104</v>
      </c>
      <c r="E50" s="8">
        <f>2051.91+16.8</f>
        <v>2068.71</v>
      </c>
      <c r="F50" s="5" t="s">
        <v>9</v>
      </c>
      <c r="G50" s="2" t="s">
        <v>212</v>
      </c>
    </row>
    <row r="51" spans="1:7" x14ac:dyDescent="0.25">
      <c r="A51" s="11">
        <v>40</v>
      </c>
      <c r="B51" s="5" t="s">
        <v>315</v>
      </c>
      <c r="C51" s="11" t="s">
        <v>15</v>
      </c>
      <c r="D51" s="5" t="s">
        <v>15</v>
      </c>
      <c r="E51" s="8">
        <v>200</v>
      </c>
      <c r="F51" s="5" t="s">
        <v>9</v>
      </c>
      <c r="G51" s="2" t="s">
        <v>135</v>
      </c>
    </row>
    <row r="52" spans="1:7" x14ac:dyDescent="0.25">
      <c r="A52" s="11">
        <v>41</v>
      </c>
      <c r="B52" s="5" t="s">
        <v>364</v>
      </c>
      <c r="C52" s="11">
        <v>56717147376</v>
      </c>
      <c r="D52" s="5" t="s">
        <v>365</v>
      </c>
      <c r="E52" s="8">
        <v>6091.17</v>
      </c>
      <c r="F52" s="5" t="s">
        <v>9</v>
      </c>
      <c r="G52" s="2" t="s">
        <v>21</v>
      </c>
    </row>
    <row r="53" spans="1:7" x14ac:dyDescent="0.25">
      <c r="A53" s="11">
        <v>42</v>
      </c>
      <c r="B53" s="5" t="s">
        <v>110</v>
      </c>
      <c r="C53" s="11">
        <v>41412434130</v>
      </c>
      <c r="D53" s="5" t="s">
        <v>147</v>
      </c>
      <c r="E53" s="8">
        <v>242.55</v>
      </c>
      <c r="F53" s="5" t="s">
        <v>9</v>
      </c>
      <c r="G53" s="2" t="s">
        <v>84</v>
      </c>
    </row>
    <row r="54" spans="1:7" x14ac:dyDescent="0.25">
      <c r="A54" s="11">
        <v>43</v>
      </c>
      <c r="B54" s="5" t="s">
        <v>929</v>
      </c>
      <c r="C54" s="11">
        <v>41317489366</v>
      </c>
      <c r="D54" s="5" t="s">
        <v>930</v>
      </c>
      <c r="E54" s="8">
        <f>2*2.8</f>
        <v>5.6</v>
      </c>
      <c r="F54" s="5" t="s">
        <v>9</v>
      </c>
      <c r="G54" s="2" t="s">
        <v>195</v>
      </c>
    </row>
    <row r="55" spans="1:7" x14ac:dyDescent="0.25">
      <c r="A55" s="11">
        <v>44</v>
      </c>
      <c r="B55" s="5" t="s">
        <v>112</v>
      </c>
      <c r="C55" s="12" t="s">
        <v>152</v>
      </c>
      <c r="D55" s="5" t="s">
        <v>153</v>
      </c>
      <c r="E55" s="8">
        <v>237.98</v>
      </c>
      <c r="F55" s="5" t="s">
        <v>9</v>
      </c>
      <c r="G55" s="2" t="s">
        <v>84</v>
      </c>
    </row>
    <row r="56" spans="1:7" x14ac:dyDescent="0.25">
      <c r="A56" s="11">
        <v>45</v>
      </c>
      <c r="B56" s="5" t="s">
        <v>113</v>
      </c>
      <c r="C56" s="11">
        <v>85584865987</v>
      </c>
      <c r="D56" s="5" t="s">
        <v>154</v>
      </c>
      <c r="E56" s="8">
        <f>1686.2+1422.85</f>
        <v>3109.05</v>
      </c>
      <c r="F56" s="5" t="s">
        <v>9</v>
      </c>
      <c r="G56" s="2" t="s">
        <v>84</v>
      </c>
    </row>
    <row r="57" spans="1:7" x14ac:dyDescent="0.25">
      <c r="A57" s="11">
        <v>46</v>
      </c>
      <c r="B57" s="5" t="s">
        <v>114</v>
      </c>
      <c r="C57" s="11" t="s">
        <v>432</v>
      </c>
      <c r="D57" s="5" t="s">
        <v>432</v>
      </c>
      <c r="E57" s="8">
        <v>1940</v>
      </c>
      <c r="F57" s="5" t="s">
        <v>9</v>
      </c>
      <c r="G57" s="2" t="s">
        <v>115</v>
      </c>
    </row>
    <row r="58" spans="1:7" x14ac:dyDescent="0.25">
      <c r="A58" s="11">
        <v>47</v>
      </c>
      <c r="B58" s="5" t="s">
        <v>1116</v>
      </c>
      <c r="C58" s="11">
        <v>67337315718</v>
      </c>
      <c r="D58" s="5" t="s">
        <v>1117</v>
      </c>
      <c r="E58" s="8">
        <v>247.75</v>
      </c>
      <c r="F58" s="5" t="s">
        <v>9</v>
      </c>
      <c r="G58" s="2" t="s">
        <v>21</v>
      </c>
    </row>
    <row r="59" spans="1:7" x14ac:dyDescent="0.25">
      <c r="A59" s="11">
        <v>48</v>
      </c>
      <c r="B59" s="5" t="s">
        <v>481</v>
      </c>
      <c r="C59" s="11">
        <v>11374156664</v>
      </c>
      <c r="D59" s="5" t="s">
        <v>482</v>
      </c>
      <c r="E59" s="8">
        <f>35+94.33</f>
        <v>129.32999999999998</v>
      </c>
      <c r="F59" s="5" t="s">
        <v>9</v>
      </c>
      <c r="G59" s="2" t="s">
        <v>21</v>
      </c>
    </row>
    <row r="60" spans="1:7" x14ac:dyDescent="0.25">
      <c r="A60" s="11">
        <v>49</v>
      </c>
      <c r="B60" s="5" t="s">
        <v>879</v>
      </c>
      <c r="C60" s="11">
        <v>55175013491</v>
      </c>
      <c r="D60" s="5" t="s">
        <v>880</v>
      </c>
      <c r="E60" s="8">
        <f>2845.4+1551.5+23031.25+626.75+987.5</f>
        <v>29042.400000000001</v>
      </c>
      <c r="F60" s="5" t="s">
        <v>9</v>
      </c>
      <c r="G60" s="2" t="s">
        <v>21</v>
      </c>
    </row>
    <row r="61" spans="1:7" x14ac:dyDescent="0.25">
      <c r="A61" s="11">
        <v>50</v>
      </c>
      <c r="B61" s="5" t="s">
        <v>859</v>
      </c>
      <c r="C61" s="11">
        <v>80523849112</v>
      </c>
      <c r="D61" s="5" t="s">
        <v>860</v>
      </c>
      <c r="E61" s="8">
        <f>293.25+179</f>
        <v>472.25</v>
      </c>
      <c r="F61" s="5" t="s">
        <v>9</v>
      </c>
      <c r="G61" s="2" t="s">
        <v>21</v>
      </c>
    </row>
    <row r="62" spans="1:7" x14ac:dyDescent="0.25">
      <c r="A62" s="11">
        <v>51</v>
      </c>
      <c r="B62" s="5" t="s">
        <v>993</v>
      </c>
      <c r="C62" s="11">
        <v>29035933600</v>
      </c>
      <c r="D62" s="5" t="s">
        <v>317</v>
      </c>
      <c r="E62" s="8">
        <v>33.49</v>
      </c>
      <c r="F62" s="5" t="s">
        <v>9</v>
      </c>
      <c r="G62" s="2" t="s">
        <v>195</v>
      </c>
    </row>
    <row r="63" spans="1:7" x14ac:dyDescent="0.25">
      <c r="A63" s="11">
        <v>52</v>
      </c>
      <c r="B63" s="5" t="s">
        <v>1050</v>
      </c>
      <c r="C63" s="11">
        <v>43654507669</v>
      </c>
      <c r="D63" s="5" t="s">
        <v>1051</v>
      </c>
      <c r="E63" s="8">
        <v>101.7</v>
      </c>
      <c r="F63" s="5" t="s">
        <v>9</v>
      </c>
      <c r="G63" s="2" t="s">
        <v>45</v>
      </c>
    </row>
    <row r="64" spans="1:7" x14ac:dyDescent="0.25">
      <c r="A64" s="11">
        <v>53</v>
      </c>
      <c r="B64" s="5" t="s">
        <v>120</v>
      </c>
      <c r="C64" s="11" t="s">
        <v>159</v>
      </c>
      <c r="D64" s="5" t="s">
        <v>121</v>
      </c>
      <c r="E64" s="8">
        <v>9795.9599999999991</v>
      </c>
      <c r="F64" s="5" t="s">
        <v>9</v>
      </c>
      <c r="G64" s="2" t="s">
        <v>21</v>
      </c>
    </row>
    <row r="65" spans="1:7" x14ac:dyDescent="0.25">
      <c r="A65" s="11">
        <v>54</v>
      </c>
      <c r="B65" s="5" t="s">
        <v>1367</v>
      </c>
      <c r="C65" s="12" t="s">
        <v>1368</v>
      </c>
      <c r="D65" s="5" t="s">
        <v>1369</v>
      </c>
      <c r="E65" s="8">
        <v>111.25</v>
      </c>
      <c r="F65" s="5" t="s">
        <v>9</v>
      </c>
      <c r="G65" s="2" t="s">
        <v>1069</v>
      </c>
    </row>
    <row r="66" spans="1:7" x14ac:dyDescent="0.25">
      <c r="A66" s="11">
        <v>55</v>
      </c>
      <c r="B66" s="5" t="s">
        <v>215</v>
      </c>
      <c r="C66" s="11">
        <v>83416546499</v>
      </c>
      <c r="D66" s="5" t="s">
        <v>218</v>
      </c>
      <c r="E66" s="8">
        <v>37.49</v>
      </c>
      <c r="F66" s="5" t="s">
        <v>9</v>
      </c>
      <c r="G66" s="2" t="s">
        <v>47</v>
      </c>
    </row>
    <row r="67" spans="1:7" x14ac:dyDescent="0.25">
      <c r="A67" s="11">
        <v>56</v>
      </c>
      <c r="B67" s="5" t="s">
        <v>293</v>
      </c>
      <c r="C67" s="11">
        <v>89027343720</v>
      </c>
      <c r="D67" s="5" t="s">
        <v>294</v>
      </c>
      <c r="E67" s="8">
        <f>11.9</f>
        <v>11.9</v>
      </c>
      <c r="F67" s="5" t="s">
        <v>9</v>
      </c>
      <c r="G67" s="2" t="s">
        <v>21</v>
      </c>
    </row>
    <row r="68" spans="1:7" x14ac:dyDescent="0.25">
      <c r="A68" s="11">
        <v>57</v>
      </c>
      <c r="B68" s="36" t="s">
        <v>656</v>
      </c>
      <c r="C68" s="35">
        <v>35082328665</v>
      </c>
      <c r="D68" s="36" t="s">
        <v>185</v>
      </c>
      <c r="E68" s="15">
        <f>4882.65+8812.58</f>
        <v>13695.23</v>
      </c>
      <c r="F68" s="19" t="s">
        <v>9</v>
      </c>
      <c r="G68" s="26" t="s">
        <v>21</v>
      </c>
    </row>
    <row r="69" spans="1:7" x14ac:dyDescent="0.25">
      <c r="A69" s="11">
        <v>58</v>
      </c>
      <c r="B69" s="21" t="s">
        <v>127</v>
      </c>
      <c r="C69" s="22">
        <v>87682591133</v>
      </c>
      <c r="D69" s="21" t="s">
        <v>164</v>
      </c>
      <c r="E69" s="15">
        <v>12027.51</v>
      </c>
      <c r="F69" s="21" t="s">
        <v>9</v>
      </c>
      <c r="G69" s="26" t="s">
        <v>21</v>
      </c>
    </row>
    <row r="70" spans="1:7" x14ac:dyDescent="0.25">
      <c r="A70" s="11">
        <v>59</v>
      </c>
      <c r="B70" s="61" t="s">
        <v>128</v>
      </c>
      <c r="C70" s="11">
        <v>19849957757</v>
      </c>
      <c r="D70" s="61" t="s">
        <v>166</v>
      </c>
      <c r="E70" s="8">
        <f>44609.59+4095.74+15588.88</f>
        <v>64294.209999999992</v>
      </c>
      <c r="F70" s="61" t="s">
        <v>9</v>
      </c>
      <c r="G70" s="2" t="s">
        <v>21</v>
      </c>
    </row>
    <row r="71" spans="1:7" x14ac:dyDescent="0.25">
      <c r="A71" s="11">
        <v>60</v>
      </c>
      <c r="B71" s="5" t="s">
        <v>98</v>
      </c>
      <c r="C71" s="11">
        <v>28921383001</v>
      </c>
      <c r="D71" s="5" t="s">
        <v>100</v>
      </c>
      <c r="E71" s="8">
        <v>139.36000000000001</v>
      </c>
      <c r="F71" s="5" t="s">
        <v>9</v>
      </c>
      <c r="G71" s="2" t="s">
        <v>99</v>
      </c>
    </row>
    <row r="72" spans="1:7" x14ac:dyDescent="0.25">
      <c r="A72" s="11">
        <v>61</v>
      </c>
      <c r="B72" s="5" t="s">
        <v>426</v>
      </c>
      <c r="C72" s="11">
        <v>85821130368</v>
      </c>
      <c r="D72" s="5" t="s">
        <v>427</v>
      </c>
      <c r="E72" s="8">
        <v>146</v>
      </c>
      <c r="F72" s="25" t="s">
        <v>9</v>
      </c>
      <c r="G72" s="2" t="s">
        <v>132</v>
      </c>
    </row>
    <row r="73" spans="1:7" x14ac:dyDescent="0.25">
      <c r="A73" s="11">
        <v>62</v>
      </c>
      <c r="B73" s="5" t="s">
        <v>202</v>
      </c>
      <c r="C73" s="11">
        <v>31174430130</v>
      </c>
      <c r="D73" s="5" t="s">
        <v>203</v>
      </c>
      <c r="E73" s="8">
        <v>298.86</v>
      </c>
      <c r="F73" s="5" t="s">
        <v>9</v>
      </c>
      <c r="G73" s="2" t="s">
        <v>84</v>
      </c>
    </row>
    <row r="74" spans="1:7" x14ac:dyDescent="0.25">
      <c r="A74" s="11">
        <v>63</v>
      </c>
      <c r="B74" s="5" t="s">
        <v>15</v>
      </c>
      <c r="C74" s="11" t="s">
        <v>15</v>
      </c>
      <c r="D74" s="5" t="s">
        <v>15</v>
      </c>
      <c r="E74" s="8">
        <v>4329.79</v>
      </c>
      <c r="F74" s="5" t="s">
        <v>9</v>
      </c>
      <c r="G74" s="2" t="s">
        <v>133</v>
      </c>
    </row>
    <row r="75" spans="1:7" x14ac:dyDescent="0.25">
      <c r="A75" s="11">
        <v>64</v>
      </c>
      <c r="B75" s="19" t="s">
        <v>15</v>
      </c>
      <c r="C75" s="33" t="s">
        <v>15</v>
      </c>
      <c r="D75" s="19" t="s">
        <v>15</v>
      </c>
      <c r="E75" s="15">
        <v>2840.2</v>
      </c>
      <c r="F75" s="19" t="s">
        <v>9</v>
      </c>
      <c r="G75" s="26" t="s">
        <v>134</v>
      </c>
    </row>
    <row r="76" spans="1:7" x14ac:dyDescent="0.25">
      <c r="A76" s="11">
        <v>65</v>
      </c>
      <c r="B76" s="5" t="s">
        <v>139</v>
      </c>
      <c r="C76" s="11">
        <v>22694857747</v>
      </c>
      <c r="D76" s="5" t="s">
        <v>174</v>
      </c>
      <c r="E76" s="8">
        <v>32.159999999999997</v>
      </c>
      <c r="F76" s="5" t="s">
        <v>9</v>
      </c>
      <c r="G76" s="2" t="s">
        <v>140</v>
      </c>
    </row>
    <row r="77" spans="1:7" x14ac:dyDescent="0.25">
      <c r="A77" s="11">
        <v>66</v>
      </c>
      <c r="B77" s="5" t="s">
        <v>169</v>
      </c>
      <c r="C77" s="11">
        <v>62969535840</v>
      </c>
      <c r="D77" s="5" t="s">
        <v>170</v>
      </c>
      <c r="E77" s="20">
        <v>297.45999999999998</v>
      </c>
      <c r="F77" s="36" t="s">
        <v>9</v>
      </c>
      <c r="G77" s="37" t="s">
        <v>21</v>
      </c>
    </row>
    <row r="78" spans="1:7" x14ac:dyDescent="0.25">
      <c r="A78" s="11">
        <v>67</v>
      </c>
      <c r="B78" s="5" t="s">
        <v>403</v>
      </c>
      <c r="C78" s="11" t="s">
        <v>404</v>
      </c>
      <c r="D78" s="5" t="s">
        <v>405</v>
      </c>
      <c r="E78" s="8">
        <f>35.5+158.85</f>
        <v>194.35</v>
      </c>
      <c r="F78" s="5" t="s">
        <v>9</v>
      </c>
      <c r="G78" s="2" t="s">
        <v>21</v>
      </c>
    </row>
    <row r="79" spans="1:7" x14ac:dyDescent="0.25">
      <c r="A79" s="11">
        <v>68</v>
      </c>
      <c r="B79" s="5" t="s">
        <v>15</v>
      </c>
      <c r="C79" s="11" t="s">
        <v>15</v>
      </c>
      <c r="D79" s="5" t="s">
        <v>15</v>
      </c>
      <c r="E79" s="8">
        <v>410.22</v>
      </c>
      <c r="F79" s="5" t="s">
        <v>9</v>
      </c>
      <c r="G79" s="2" t="s">
        <v>146</v>
      </c>
    </row>
    <row r="80" spans="1:7" ht="15.75" thickBot="1" x14ac:dyDescent="0.3">
      <c r="A80" s="11">
        <v>69</v>
      </c>
      <c r="B80" s="5" t="s">
        <v>177</v>
      </c>
      <c r="C80" s="11">
        <v>49800593791</v>
      </c>
      <c r="D80" s="5" t="s">
        <v>179</v>
      </c>
      <c r="E80" s="8">
        <f>1000+1068.76+1259.69+114.33+16776.3</f>
        <v>20219.079999999998</v>
      </c>
      <c r="F80" s="5" t="s">
        <v>9</v>
      </c>
      <c r="G80" s="2" t="s">
        <v>1289</v>
      </c>
    </row>
    <row r="81" spans="1:7" x14ac:dyDescent="0.25">
      <c r="A81" s="74">
        <v>70</v>
      </c>
      <c r="B81" s="76" t="s">
        <v>182</v>
      </c>
      <c r="C81" s="74">
        <v>47428597158</v>
      </c>
      <c r="D81" s="76" t="s">
        <v>184</v>
      </c>
      <c r="E81" s="16">
        <f>1000+3050</f>
        <v>4050</v>
      </c>
      <c r="F81" s="76" t="s">
        <v>9</v>
      </c>
      <c r="G81" s="28" t="s">
        <v>21</v>
      </c>
    </row>
    <row r="82" spans="1:7" ht="15.75" thickBot="1" x14ac:dyDescent="0.3">
      <c r="A82" s="75"/>
      <c r="B82" s="77"/>
      <c r="C82" s="75"/>
      <c r="D82" s="77"/>
      <c r="E82" s="18">
        <f>2831.51+1570.33</f>
        <v>4401.84</v>
      </c>
      <c r="F82" s="77"/>
      <c r="G82" s="29" t="s">
        <v>703</v>
      </c>
    </row>
    <row r="83" spans="1:7" x14ac:dyDescent="0.25">
      <c r="A83" s="34">
        <v>71</v>
      </c>
      <c r="B83" s="30" t="s">
        <v>186</v>
      </c>
      <c r="C83" s="38" t="s">
        <v>188</v>
      </c>
      <c r="D83" s="30" t="s">
        <v>187</v>
      </c>
      <c r="E83" s="17">
        <f>2078.19+1521.91</f>
        <v>3600.1000000000004</v>
      </c>
      <c r="F83" s="30" t="s">
        <v>9</v>
      </c>
      <c r="G83" s="31" t="s">
        <v>84</v>
      </c>
    </row>
    <row r="84" spans="1:7" x14ac:dyDescent="0.25">
      <c r="A84" s="11">
        <v>72</v>
      </c>
      <c r="B84" s="19" t="s">
        <v>332</v>
      </c>
      <c r="C84" s="33">
        <v>92839607312</v>
      </c>
      <c r="D84" s="19" t="s">
        <v>1260</v>
      </c>
      <c r="E84" s="8">
        <v>140.63</v>
      </c>
      <c r="F84" s="5" t="s">
        <v>9</v>
      </c>
      <c r="G84" s="2" t="s">
        <v>21</v>
      </c>
    </row>
    <row r="85" spans="1:7" x14ac:dyDescent="0.25">
      <c r="A85" s="11">
        <v>73</v>
      </c>
      <c r="B85" s="5" t="s">
        <v>513</v>
      </c>
      <c r="C85" s="11">
        <v>73294314024</v>
      </c>
      <c r="D85" s="5" t="s">
        <v>402</v>
      </c>
      <c r="E85" s="8">
        <f>2.73+9.56+262.42</f>
        <v>274.71000000000004</v>
      </c>
      <c r="F85" s="5" t="s">
        <v>9</v>
      </c>
      <c r="G85" s="2" t="s">
        <v>401</v>
      </c>
    </row>
    <row r="86" spans="1:7" x14ac:dyDescent="0.25">
      <c r="A86" s="11">
        <v>74</v>
      </c>
      <c r="B86" s="5" t="s">
        <v>729</v>
      </c>
      <c r="C86" s="11">
        <v>38812451417</v>
      </c>
      <c r="D86" s="5" t="s">
        <v>730</v>
      </c>
      <c r="E86" s="8">
        <v>643.28</v>
      </c>
      <c r="F86" s="5" t="s">
        <v>9</v>
      </c>
      <c r="G86" s="2" t="s">
        <v>84</v>
      </c>
    </row>
    <row r="87" spans="1:7" x14ac:dyDescent="0.25">
      <c r="A87" s="11">
        <v>75</v>
      </c>
      <c r="B87" s="5" t="s">
        <v>197</v>
      </c>
      <c r="C87" s="11">
        <v>63988426425</v>
      </c>
      <c r="D87" s="5" t="s">
        <v>198</v>
      </c>
      <c r="E87" s="8">
        <f>4163+9471.25+4319.44+3528.75+2615.38+7168.35+3945.38+1866.81+1090.56+4985.56</f>
        <v>43154.479999999989</v>
      </c>
      <c r="F87" s="5" t="s">
        <v>9</v>
      </c>
      <c r="G87" s="2" t="s">
        <v>21</v>
      </c>
    </row>
    <row r="88" spans="1:7" x14ac:dyDescent="0.25">
      <c r="A88" s="11">
        <v>76</v>
      </c>
      <c r="B88" s="5" t="s">
        <v>1035</v>
      </c>
      <c r="C88" s="11">
        <v>75989437093</v>
      </c>
      <c r="D88" s="5" t="s">
        <v>1036</v>
      </c>
      <c r="E88" s="8">
        <f>105+73.4+71</f>
        <v>249.4</v>
      </c>
      <c r="F88" s="5" t="s">
        <v>9</v>
      </c>
      <c r="G88" s="2" t="s">
        <v>21</v>
      </c>
    </row>
    <row r="89" spans="1:7" x14ac:dyDescent="0.25">
      <c r="A89" s="11">
        <v>77</v>
      </c>
      <c r="B89" s="21" t="s">
        <v>102</v>
      </c>
      <c r="C89" s="22">
        <v>70133616033</v>
      </c>
      <c r="D89" s="21" t="s">
        <v>105</v>
      </c>
      <c r="E89" s="8">
        <v>2393.33</v>
      </c>
      <c r="F89" s="5" t="s">
        <v>9</v>
      </c>
      <c r="G89" s="2" t="s">
        <v>212</v>
      </c>
    </row>
    <row r="90" spans="1:7" x14ac:dyDescent="0.25">
      <c r="A90" s="11">
        <v>78</v>
      </c>
      <c r="B90" s="61" t="s">
        <v>213</v>
      </c>
      <c r="C90" s="41">
        <v>65952859647</v>
      </c>
      <c r="D90" s="40" t="s">
        <v>214</v>
      </c>
      <c r="E90" s="8">
        <v>14377.5</v>
      </c>
      <c r="F90" s="61" t="s">
        <v>9</v>
      </c>
      <c r="G90" s="2" t="s">
        <v>21</v>
      </c>
    </row>
    <row r="91" spans="1:7" x14ac:dyDescent="0.25">
      <c r="A91" s="11">
        <v>79</v>
      </c>
      <c r="B91" s="5" t="s">
        <v>208</v>
      </c>
      <c r="C91" s="11">
        <v>10235187780</v>
      </c>
      <c r="D91" s="5" t="s">
        <v>210</v>
      </c>
      <c r="E91" s="8">
        <v>354.3</v>
      </c>
      <c r="F91" s="5" t="s">
        <v>9</v>
      </c>
      <c r="G91" s="2" t="s">
        <v>209</v>
      </c>
    </row>
    <row r="92" spans="1:7" x14ac:dyDescent="0.25">
      <c r="A92" s="11">
        <v>80</v>
      </c>
      <c r="B92" s="5" t="s">
        <v>219</v>
      </c>
      <c r="C92" s="11">
        <v>60314119747</v>
      </c>
      <c r="D92" s="5" t="s">
        <v>217</v>
      </c>
      <c r="E92" s="8">
        <v>30222.080000000002</v>
      </c>
      <c r="F92" s="5" t="s">
        <v>9</v>
      </c>
      <c r="G92" s="2" t="s">
        <v>21</v>
      </c>
    </row>
    <row r="93" spans="1:7" x14ac:dyDescent="0.25">
      <c r="A93" s="11">
        <v>81</v>
      </c>
      <c r="B93" s="5" t="s">
        <v>61</v>
      </c>
      <c r="C93" s="11">
        <v>68419124305</v>
      </c>
      <c r="D93" s="5" t="s">
        <v>62</v>
      </c>
      <c r="E93" s="8">
        <f>2*106.2</f>
        <v>212.4</v>
      </c>
      <c r="F93" s="5" t="s">
        <v>9</v>
      </c>
      <c r="G93" s="2" t="s">
        <v>60</v>
      </c>
    </row>
    <row r="94" spans="1:7" x14ac:dyDescent="0.25">
      <c r="A94" s="11">
        <v>82</v>
      </c>
      <c r="B94" s="5" t="s">
        <v>226</v>
      </c>
      <c r="C94" s="12" t="s">
        <v>228</v>
      </c>
      <c r="D94" s="5" t="s">
        <v>227</v>
      </c>
      <c r="E94" s="8">
        <f>3000+3225+2812.5+3000</f>
        <v>12037.5</v>
      </c>
      <c r="F94" s="5" t="s">
        <v>9</v>
      </c>
      <c r="G94" s="2" t="s">
        <v>21</v>
      </c>
    </row>
    <row r="95" spans="1:7" x14ac:dyDescent="0.25">
      <c r="A95" s="11">
        <v>83</v>
      </c>
      <c r="B95" s="5" t="s">
        <v>229</v>
      </c>
      <c r="C95" s="11">
        <v>95243482140</v>
      </c>
      <c r="D95" s="5" t="s">
        <v>230</v>
      </c>
      <c r="E95" s="8">
        <f>2729.42+509.19+310.17+4386.98+876.87</f>
        <v>8812.630000000001</v>
      </c>
      <c r="F95" s="5" t="s">
        <v>9</v>
      </c>
      <c r="G95" s="2" t="s">
        <v>21</v>
      </c>
    </row>
    <row r="96" spans="1:7" x14ac:dyDescent="0.25">
      <c r="A96" s="11">
        <v>84</v>
      </c>
      <c r="B96" s="5" t="s">
        <v>788</v>
      </c>
      <c r="C96" s="11" t="s">
        <v>789</v>
      </c>
      <c r="D96" s="5" t="s">
        <v>790</v>
      </c>
      <c r="E96" s="8">
        <v>1214.52</v>
      </c>
      <c r="F96" s="5" t="s">
        <v>9</v>
      </c>
      <c r="G96" s="2" t="s">
        <v>21</v>
      </c>
    </row>
    <row r="97" spans="1:7" x14ac:dyDescent="0.25">
      <c r="A97" s="11">
        <v>85</v>
      </c>
      <c r="B97" s="5" t="s">
        <v>237</v>
      </c>
      <c r="C97" s="11">
        <v>15907062900</v>
      </c>
      <c r="D97" s="5" t="s">
        <v>239</v>
      </c>
      <c r="E97" s="8">
        <f>3178.32+3182.11</f>
        <v>6360.43</v>
      </c>
      <c r="F97" s="5" t="s">
        <v>9</v>
      </c>
      <c r="G97" s="2" t="s">
        <v>238</v>
      </c>
    </row>
    <row r="98" spans="1:7" x14ac:dyDescent="0.25">
      <c r="A98" s="11">
        <v>86</v>
      </c>
      <c r="B98" s="5" t="s">
        <v>505</v>
      </c>
      <c r="C98" s="11">
        <v>57270798205</v>
      </c>
      <c r="D98" s="5" t="s">
        <v>506</v>
      </c>
      <c r="E98" s="8">
        <f>497.75+498.56+995.5</f>
        <v>1991.81</v>
      </c>
      <c r="F98" s="5" t="s">
        <v>9</v>
      </c>
      <c r="G98" s="2" t="s">
        <v>11</v>
      </c>
    </row>
    <row r="99" spans="1:7" x14ac:dyDescent="0.25">
      <c r="A99" s="11">
        <v>87</v>
      </c>
      <c r="B99" s="5" t="s">
        <v>66</v>
      </c>
      <c r="C99" s="11">
        <v>42889250808</v>
      </c>
      <c r="D99" s="5" t="s">
        <v>68</v>
      </c>
      <c r="E99" s="8">
        <v>90.24</v>
      </c>
      <c r="F99" s="5" t="s">
        <v>9</v>
      </c>
      <c r="G99" s="2" t="s">
        <v>64</v>
      </c>
    </row>
    <row r="100" spans="1:7" x14ac:dyDescent="0.25">
      <c r="A100" s="11">
        <v>88</v>
      </c>
      <c r="B100" s="5" t="s">
        <v>250</v>
      </c>
      <c r="C100" s="11">
        <v>78969071801</v>
      </c>
      <c r="D100" s="5" t="s">
        <v>251</v>
      </c>
      <c r="E100" s="8">
        <f>1000+807.83+1453.65</f>
        <v>3261.48</v>
      </c>
      <c r="F100" s="5" t="s">
        <v>9</v>
      </c>
      <c r="G100" s="2" t="s">
        <v>21</v>
      </c>
    </row>
    <row r="101" spans="1:7" x14ac:dyDescent="0.25">
      <c r="A101" s="11">
        <v>89</v>
      </c>
      <c r="B101" s="5" t="s">
        <v>307</v>
      </c>
      <c r="C101" s="11">
        <v>48633701387</v>
      </c>
      <c r="D101" s="5" t="s">
        <v>308</v>
      </c>
      <c r="E101" s="8">
        <f>52.14+165.21</f>
        <v>217.35000000000002</v>
      </c>
      <c r="F101" s="5" t="s">
        <v>9</v>
      </c>
      <c r="G101" s="2" t="s">
        <v>21</v>
      </c>
    </row>
    <row r="102" spans="1:7" x14ac:dyDescent="0.25">
      <c r="A102" s="11">
        <v>90</v>
      </c>
      <c r="B102" s="5" t="s">
        <v>269</v>
      </c>
      <c r="C102" s="11">
        <v>48249084626</v>
      </c>
      <c r="D102" s="5" t="s">
        <v>270</v>
      </c>
      <c r="E102" s="8">
        <f>1486.04+424.29+532.63+334.02+149.31+863.74+1752.07</f>
        <v>5542.0999999999995</v>
      </c>
      <c r="F102" s="5" t="s">
        <v>9</v>
      </c>
      <c r="G102" s="2" t="s">
        <v>21</v>
      </c>
    </row>
    <row r="103" spans="1:7" x14ac:dyDescent="0.25">
      <c r="A103" s="11">
        <v>91</v>
      </c>
      <c r="B103" s="5" t="s">
        <v>267</v>
      </c>
      <c r="C103" s="11">
        <v>64021574271</v>
      </c>
      <c r="D103" s="5" t="s">
        <v>268</v>
      </c>
      <c r="E103" s="8">
        <f>1691.54+3470.36</f>
        <v>5161.8999999999996</v>
      </c>
      <c r="F103" s="5" t="s">
        <v>9</v>
      </c>
      <c r="G103" s="2" t="s">
        <v>21</v>
      </c>
    </row>
    <row r="104" spans="1:7" x14ac:dyDescent="0.25">
      <c r="A104" s="11">
        <v>92</v>
      </c>
      <c r="B104" s="5" t="s">
        <v>277</v>
      </c>
      <c r="C104" s="11">
        <v>60365429880</v>
      </c>
      <c r="D104" s="5" t="s">
        <v>278</v>
      </c>
      <c r="E104" s="8">
        <f>2725.27+10.61+158.75+341.32+869.32</f>
        <v>4105.2700000000004</v>
      </c>
      <c r="F104" s="5" t="s">
        <v>9</v>
      </c>
      <c r="G104" s="2" t="s">
        <v>21</v>
      </c>
    </row>
    <row r="105" spans="1:7" x14ac:dyDescent="0.25">
      <c r="A105" s="11">
        <v>93</v>
      </c>
      <c r="B105" s="5" t="s">
        <v>279</v>
      </c>
      <c r="C105" s="11">
        <v>37879152548</v>
      </c>
      <c r="D105" s="5" t="s">
        <v>280</v>
      </c>
      <c r="E105" s="8">
        <f>949.5+186+330+4039.48+223.5</f>
        <v>5728.48</v>
      </c>
      <c r="F105" s="5" t="s">
        <v>9</v>
      </c>
      <c r="G105" s="2" t="s">
        <v>21</v>
      </c>
    </row>
    <row r="106" spans="1:7" x14ac:dyDescent="0.25">
      <c r="A106" s="11">
        <v>94</v>
      </c>
      <c r="B106" s="5" t="s">
        <v>324</v>
      </c>
      <c r="C106" s="11">
        <v>64008199572</v>
      </c>
      <c r="D106" s="5" t="s">
        <v>325</v>
      </c>
      <c r="E106" s="8">
        <v>1324.24</v>
      </c>
      <c r="F106" s="5" t="s">
        <v>9</v>
      </c>
      <c r="G106" s="2" t="s">
        <v>21</v>
      </c>
    </row>
    <row r="107" spans="1:7" x14ac:dyDescent="0.25">
      <c r="A107" s="11">
        <v>95</v>
      </c>
      <c r="B107" s="5" t="s">
        <v>283</v>
      </c>
      <c r="C107" s="11">
        <v>39048902955</v>
      </c>
      <c r="D107" s="5" t="s">
        <v>284</v>
      </c>
      <c r="E107" s="8">
        <v>441.42</v>
      </c>
      <c r="F107" s="5" t="s">
        <v>9</v>
      </c>
      <c r="G107" s="2" t="s">
        <v>47</v>
      </c>
    </row>
    <row r="108" spans="1:7" x14ac:dyDescent="0.25">
      <c r="A108" s="11">
        <v>96</v>
      </c>
      <c r="B108" s="5" t="s">
        <v>285</v>
      </c>
      <c r="C108" s="11">
        <v>85375838060</v>
      </c>
      <c r="D108" s="5" t="s">
        <v>286</v>
      </c>
      <c r="E108" s="8">
        <f>71.38+285.51+99.93+214.13</f>
        <v>670.95</v>
      </c>
      <c r="F108" s="5" t="s">
        <v>9</v>
      </c>
      <c r="G108" s="2" t="s">
        <v>47</v>
      </c>
    </row>
    <row r="109" spans="1:7" x14ac:dyDescent="0.25">
      <c r="A109" s="11">
        <v>97</v>
      </c>
      <c r="B109" s="5" t="s">
        <v>287</v>
      </c>
      <c r="C109" s="11">
        <v>55614719992</v>
      </c>
      <c r="D109" s="5" t="s">
        <v>288</v>
      </c>
      <c r="E109" s="8">
        <f>190.3+380.55+377.08+2238.87</f>
        <v>3186.8</v>
      </c>
      <c r="F109" s="5" t="s">
        <v>9</v>
      </c>
      <c r="G109" s="2" t="s">
        <v>21</v>
      </c>
    </row>
    <row r="110" spans="1:7" x14ac:dyDescent="0.25">
      <c r="A110" s="11">
        <v>98</v>
      </c>
      <c r="B110" s="5" t="s">
        <v>809</v>
      </c>
      <c r="C110" s="11">
        <v>14273924910</v>
      </c>
      <c r="D110" s="5" t="s">
        <v>810</v>
      </c>
      <c r="E110" s="8">
        <v>483.75</v>
      </c>
      <c r="F110" s="5" t="s">
        <v>9</v>
      </c>
      <c r="G110" s="2" t="s">
        <v>132</v>
      </c>
    </row>
    <row r="111" spans="1:7" x14ac:dyDescent="0.25">
      <c r="A111" s="11">
        <v>99</v>
      </c>
      <c r="B111" s="5" t="s">
        <v>311</v>
      </c>
      <c r="C111" s="11">
        <v>48841983787</v>
      </c>
      <c r="D111" s="5" t="s">
        <v>312</v>
      </c>
      <c r="E111" s="8">
        <f>825+396+6594</f>
        <v>7815</v>
      </c>
      <c r="F111" s="5" t="s">
        <v>9</v>
      </c>
      <c r="G111" s="2" t="s">
        <v>21</v>
      </c>
    </row>
    <row r="112" spans="1:7" x14ac:dyDescent="0.25">
      <c r="A112" s="11">
        <v>100</v>
      </c>
      <c r="B112" s="5" t="s">
        <v>1491</v>
      </c>
      <c r="C112" s="11">
        <v>92015218503</v>
      </c>
      <c r="D112" s="5" t="s">
        <v>1492</v>
      </c>
      <c r="E112" s="8">
        <v>60</v>
      </c>
      <c r="F112" s="5" t="s">
        <v>9</v>
      </c>
      <c r="G112" s="2" t="s">
        <v>241</v>
      </c>
    </row>
    <row r="113" spans="1:7" x14ac:dyDescent="0.25">
      <c r="A113" s="11">
        <v>101</v>
      </c>
      <c r="B113" s="5" t="s">
        <v>107</v>
      </c>
      <c r="C113" s="12" t="s">
        <v>149</v>
      </c>
      <c r="D113" s="5" t="s">
        <v>150</v>
      </c>
      <c r="E113" s="8">
        <v>236.83</v>
      </c>
      <c r="F113" s="5" t="s">
        <v>9</v>
      </c>
      <c r="G113" s="2" t="s">
        <v>84</v>
      </c>
    </row>
    <row r="114" spans="1:7" x14ac:dyDescent="0.25">
      <c r="A114" s="11">
        <v>102</v>
      </c>
      <c r="B114" s="5" t="s">
        <v>851</v>
      </c>
      <c r="C114" s="12" t="s">
        <v>1493</v>
      </c>
      <c r="D114" s="5" t="s">
        <v>1494</v>
      </c>
      <c r="E114" s="8">
        <v>8.06</v>
      </c>
      <c r="F114" s="5" t="s">
        <v>9</v>
      </c>
      <c r="G114" s="2" t="s">
        <v>21</v>
      </c>
    </row>
    <row r="115" spans="1:7" x14ac:dyDescent="0.25">
      <c r="A115" s="11">
        <v>103</v>
      </c>
      <c r="B115" s="5" t="s">
        <v>1049</v>
      </c>
      <c r="C115" s="11">
        <v>26211106548</v>
      </c>
      <c r="D115" s="5" t="s">
        <v>111</v>
      </c>
      <c r="E115" s="8">
        <v>140.02000000000001</v>
      </c>
      <c r="F115" s="5" t="s">
        <v>9</v>
      </c>
      <c r="G115" s="2" t="s">
        <v>84</v>
      </c>
    </row>
    <row r="116" spans="1:7" x14ac:dyDescent="0.25">
      <c r="A116" s="11">
        <v>104</v>
      </c>
      <c r="B116" s="5" t="s">
        <v>275</v>
      </c>
      <c r="C116" s="11">
        <v>76080865307</v>
      </c>
      <c r="D116" s="5" t="s">
        <v>276</v>
      </c>
      <c r="E116" s="8">
        <v>42.78</v>
      </c>
      <c r="F116" s="5" t="s">
        <v>9</v>
      </c>
      <c r="G116" s="2" t="s">
        <v>211</v>
      </c>
    </row>
    <row r="117" spans="1:7" x14ac:dyDescent="0.25">
      <c r="A117" s="11">
        <v>105</v>
      </c>
      <c r="B117" s="5" t="s">
        <v>243</v>
      </c>
      <c r="C117" s="12" t="s">
        <v>245</v>
      </c>
      <c r="D117" s="5" t="s">
        <v>244</v>
      </c>
      <c r="E117" s="8">
        <v>60</v>
      </c>
      <c r="F117" s="5" t="s">
        <v>9</v>
      </c>
      <c r="G117" s="2" t="s">
        <v>241</v>
      </c>
    </row>
    <row r="118" spans="1:7" x14ac:dyDescent="0.25">
      <c r="A118" s="11">
        <v>106</v>
      </c>
      <c r="B118" s="5" t="s">
        <v>322</v>
      </c>
      <c r="C118" s="11">
        <v>85828625994</v>
      </c>
      <c r="D118" s="5" t="s">
        <v>323</v>
      </c>
      <c r="E118" s="8">
        <v>5.98</v>
      </c>
      <c r="F118" s="5" t="s">
        <v>9</v>
      </c>
      <c r="G118" s="2" t="s">
        <v>318</v>
      </c>
    </row>
    <row r="119" spans="1:7" x14ac:dyDescent="0.25">
      <c r="A119" s="11">
        <v>107</v>
      </c>
      <c r="B119" s="5" t="s">
        <v>106</v>
      </c>
      <c r="C119" s="11">
        <v>70467048139</v>
      </c>
      <c r="D119" s="5" t="s">
        <v>148</v>
      </c>
      <c r="E119" s="8">
        <v>16.02</v>
      </c>
      <c r="F119" s="5" t="s">
        <v>9</v>
      </c>
      <c r="G119" s="2" t="s">
        <v>84</v>
      </c>
    </row>
    <row r="120" spans="1:7" x14ac:dyDescent="0.25">
      <c r="A120" s="11">
        <v>108</v>
      </c>
      <c r="B120" s="5" t="s">
        <v>622</v>
      </c>
      <c r="C120" s="11">
        <v>42525184727</v>
      </c>
      <c r="D120" s="5" t="s">
        <v>176</v>
      </c>
      <c r="E120" s="8">
        <v>277.2</v>
      </c>
      <c r="F120" s="5" t="s">
        <v>9</v>
      </c>
      <c r="G120" s="2" t="s">
        <v>130</v>
      </c>
    </row>
    <row r="121" spans="1:7" x14ac:dyDescent="0.25">
      <c r="A121" s="11">
        <v>109</v>
      </c>
      <c r="B121" s="5" t="s">
        <v>507</v>
      </c>
      <c r="C121" s="11" t="s">
        <v>508</v>
      </c>
      <c r="D121" s="5" t="s">
        <v>509</v>
      </c>
      <c r="E121" s="8">
        <f>3855.88+3706.1</f>
        <v>7561.98</v>
      </c>
      <c r="F121" s="5" t="s">
        <v>9</v>
      </c>
      <c r="G121" s="2" t="s">
        <v>21</v>
      </c>
    </row>
    <row r="122" spans="1:7" ht="15.75" thickBot="1" x14ac:dyDescent="0.3">
      <c r="A122" s="11">
        <v>110</v>
      </c>
      <c r="B122" s="5" t="s">
        <v>551</v>
      </c>
      <c r="C122" s="11">
        <v>86648038250</v>
      </c>
      <c r="D122" s="5" t="s">
        <v>498</v>
      </c>
      <c r="E122" s="8">
        <f>2*81.25</f>
        <v>162.5</v>
      </c>
      <c r="F122" s="5" t="s">
        <v>9</v>
      </c>
      <c r="G122" s="2" t="s">
        <v>90</v>
      </c>
    </row>
    <row r="123" spans="1:7" x14ac:dyDescent="0.25">
      <c r="A123" s="74">
        <v>111</v>
      </c>
      <c r="B123" s="76" t="s">
        <v>43</v>
      </c>
      <c r="C123" s="74">
        <v>39901919995</v>
      </c>
      <c r="D123" s="76" t="s">
        <v>51</v>
      </c>
      <c r="E123" s="16">
        <v>11002.42</v>
      </c>
      <c r="F123" s="76" t="s">
        <v>9</v>
      </c>
      <c r="G123" s="28" t="s">
        <v>46</v>
      </c>
    </row>
    <row r="124" spans="1:7" x14ac:dyDescent="0.25">
      <c r="A124" s="80"/>
      <c r="B124" s="79"/>
      <c r="C124" s="80"/>
      <c r="D124" s="79"/>
      <c r="E124" s="8">
        <v>1102.83</v>
      </c>
      <c r="F124" s="79"/>
      <c r="G124" s="37" t="s">
        <v>47</v>
      </c>
    </row>
    <row r="125" spans="1:7" ht="15.75" thickBot="1" x14ac:dyDescent="0.3">
      <c r="A125" s="75"/>
      <c r="B125" s="77"/>
      <c r="C125" s="75"/>
      <c r="D125" s="77"/>
      <c r="E125" s="18">
        <v>2005.94</v>
      </c>
      <c r="F125" s="77"/>
      <c r="G125" s="29" t="s">
        <v>44</v>
      </c>
    </row>
    <row r="126" spans="1:7" x14ac:dyDescent="0.25">
      <c r="A126" s="11">
        <v>112</v>
      </c>
      <c r="B126" s="5" t="s">
        <v>298</v>
      </c>
      <c r="C126" s="11">
        <v>85611744662</v>
      </c>
      <c r="D126" s="5" t="s">
        <v>299</v>
      </c>
      <c r="E126" s="8">
        <f>495.25</f>
        <v>495.25</v>
      </c>
      <c r="F126" s="5" t="s">
        <v>9</v>
      </c>
      <c r="G126" s="2" t="s">
        <v>21</v>
      </c>
    </row>
    <row r="127" spans="1:7" x14ac:dyDescent="0.25">
      <c r="A127" s="11">
        <v>113</v>
      </c>
      <c r="B127" s="5" t="s">
        <v>784</v>
      </c>
      <c r="C127" s="11">
        <v>69927324836</v>
      </c>
      <c r="D127" s="5" t="s">
        <v>785</v>
      </c>
      <c r="E127" s="8">
        <f>100.13+135.24</f>
        <v>235.37</v>
      </c>
      <c r="F127" s="5" t="s">
        <v>9</v>
      </c>
      <c r="G127" s="2" t="s">
        <v>21</v>
      </c>
    </row>
    <row r="128" spans="1:7" x14ac:dyDescent="0.25">
      <c r="A128" s="11">
        <v>114</v>
      </c>
      <c r="B128" s="5" t="s">
        <v>704</v>
      </c>
      <c r="C128" s="11">
        <v>93475459627</v>
      </c>
      <c r="D128" s="5" t="s">
        <v>705</v>
      </c>
      <c r="E128" s="8">
        <v>133.88</v>
      </c>
      <c r="F128" s="5" t="s">
        <v>9</v>
      </c>
      <c r="G128" s="2" t="s">
        <v>21</v>
      </c>
    </row>
    <row r="129" spans="1:7" x14ac:dyDescent="0.25">
      <c r="A129" s="11">
        <v>115</v>
      </c>
      <c r="B129" s="5" t="s">
        <v>125</v>
      </c>
      <c r="C129" s="11">
        <v>58353015102</v>
      </c>
      <c r="D129" s="5" t="s">
        <v>162</v>
      </c>
      <c r="E129" s="8">
        <f>170.83+201.36</f>
        <v>372.19000000000005</v>
      </c>
      <c r="F129" s="5" t="s">
        <v>9</v>
      </c>
      <c r="G129" s="2" t="s">
        <v>101</v>
      </c>
    </row>
    <row r="130" spans="1:7" x14ac:dyDescent="0.25">
      <c r="A130" s="11">
        <v>116</v>
      </c>
      <c r="B130" s="5" t="s">
        <v>376</v>
      </c>
      <c r="C130" s="11">
        <v>56862872842</v>
      </c>
      <c r="D130" s="5" t="s">
        <v>385</v>
      </c>
      <c r="E130" s="8">
        <v>125</v>
      </c>
      <c r="F130" s="5" t="s">
        <v>9</v>
      </c>
      <c r="G130" s="2" t="s">
        <v>21</v>
      </c>
    </row>
    <row r="131" spans="1:7" x14ac:dyDescent="0.25">
      <c r="A131" s="11">
        <v>117</v>
      </c>
      <c r="B131" s="5" t="s">
        <v>342</v>
      </c>
      <c r="C131" s="11">
        <v>54482179263</v>
      </c>
      <c r="D131" s="5" t="s">
        <v>343</v>
      </c>
      <c r="E131" s="8">
        <f>12.93+81.74</f>
        <v>94.669999999999987</v>
      </c>
      <c r="F131" s="5" t="s">
        <v>9</v>
      </c>
      <c r="G131" s="2" t="s">
        <v>21</v>
      </c>
    </row>
    <row r="132" spans="1:7" x14ac:dyDescent="0.25">
      <c r="A132" s="11">
        <v>118</v>
      </c>
      <c r="B132" s="5" t="s">
        <v>96</v>
      </c>
      <c r="C132" s="11">
        <v>15429488788</v>
      </c>
      <c r="D132" s="5" t="s">
        <v>97</v>
      </c>
      <c r="E132" s="8">
        <v>961</v>
      </c>
      <c r="F132" s="5" t="s">
        <v>9</v>
      </c>
      <c r="G132" s="2" t="s">
        <v>95</v>
      </c>
    </row>
    <row r="133" spans="1:7" x14ac:dyDescent="0.25">
      <c r="A133" s="11">
        <v>119</v>
      </c>
      <c r="B133" s="5" t="s">
        <v>499</v>
      </c>
      <c r="C133" s="11">
        <v>89984971143</v>
      </c>
      <c r="D133" s="5" t="s">
        <v>500</v>
      </c>
      <c r="E133" s="8">
        <f>215.63+71.38+31.88</f>
        <v>318.89</v>
      </c>
      <c r="F133" s="5" t="s">
        <v>9</v>
      </c>
      <c r="G133" s="2" t="s">
        <v>21</v>
      </c>
    </row>
    <row r="134" spans="1:7" x14ac:dyDescent="0.25">
      <c r="A134" s="11">
        <v>120</v>
      </c>
      <c r="B134" s="5" t="s">
        <v>361</v>
      </c>
      <c r="C134" s="11">
        <v>32371574171</v>
      </c>
      <c r="D134" s="5" t="s">
        <v>362</v>
      </c>
      <c r="E134" s="8">
        <f>1125+687.5</f>
        <v>1812.5</v>
      </c>
      <c r="F134" s="5" t="s">
        <v>9</v>
      </c>
      <c r="G134" s="2" t="s">
        <v>178</v>
      </c>
    </row>
    <row r="135" spans="1:7" x14ac:dyDescent="0.25">
      <c r="A135" s="11">
        <v>121</v>
      </c>
      <c r="B135" s="5" t="s">
        <v>65</v>
      </c>
      <c r="C135" s="12" t="s">
        <v>70</v>
      </c>
      <c r="D135" s="5" t="s">
        <v>69</v>
      </c>
      <c r="E135" s="8">
        <v>647.08000000000004</v>
      </c>
      <c r="F135" s="5" t="s">
        <v>9</v>
      </c>
      <c r="G135" s="2" t="s">
        <v>64</v>
      </c>
    </row>
    <row r="136" spans="1:7" x14ac:dyDescent="0.25">
      <c r="A136" s="11">
        <v>122</v>
      </c>
      <c r="B136" s="5" t="s">
        <v>131</v>
      </c>
      <c r="C136" s="11">
        <v>79517545745</v>
      </c>
      <c r="D136" s="5" t="s">
        <v>167</v>
      </c>
      <c r="E136" s="8">
        <v>64.48</v>
      </c>
      <c r="F136" s="5" t="s">
        <v>9</v>
      </c>
      <c r="G136" s="2" t="s">
        <v>132</v>
      </c>
    </row>
    <row r="137" spans="1:7" x14ac:dyDescent="0.25">
      <c r="A137" s="11">
        <v>123</v>
      </c>
      <c r="B137" s="5" t="s">
        <v>313</v>
      </c>
      <c r="C137" s="11">
        <v>12443607100</v>
      </c>
      <c r="D137" s="5" t="s">
        <v>314</v>
      </c>
      <c r="E137" s="8">
        <f>4558.56</f>
        <v>4558.5600000000004</v>
      </c>
      <c r="F137" s="5" t="s">
        <v>9</v>
      </c>
      <c r="G137" s="2" t="s">
        <v>21</v>
      </c>
    </row>
    <row r="138" spans="1:7" x14ac:dyDescent="0.25">
      <c r="A138" s="11">
        <v>124</v>
      </c>
      <c r="B138" s="5" t="s">
        <v>346</v>
      </c>
      <c r="C138" s="11">
        <v>79506290597</v>
      </c>
      <c r="D138" s="5" t="s">
        <v>348</v>
      </c>
      <c r="E138" s="8">
        <f>245+81.45</f>
        <v>326.45</v>
      </c>
      <c r="F138" s="5" t="s">
        <v>9</v>
      </c>
      <c r="G138" s="2" t="s">
        <v>347</v>
      </c>
    </row>
    <row r="139" spans="1:7" x14ac:dyDescent="0.25">
      <c r="A139" s="11">
        <v>125</v>
      </c>
      <c r="B139" s="5" t="s">
        <v>1495</v>
      </c>
      <c r="C139" s="11">
        <v>74867487620</v>
      </c>
      <c r="D139" s="5" t="s">
        <v>232</v>
      </c>
      <c r="E139" s="8">
        <f>4427.7+586.08+5653.28</f>
        <v>10667.06</v>
      </c>
      <c r="F139" s="5" t="s">
        <v>9</v>
      </c>
      <c r="G139" s="2" t="s">
        <v>21</v>
      </c>
    </row>
    <row r="140" spans="1:7" x14ac:dyDescent="0.25">
      <c r="A140" s="11">
        <v>126</v>
      </c>
      <c r="B140" s="5" t="s">
        <v>15</v>
      </c>
      <c r="C140" s="11" t="s">
        <v>15</v>
      </c>
      <c r="D140" s="5" t="s">
        <v>15</v>
      </c>
      <c r="E140" s="8">
        <f>600+600+600+600</f>
        <v>2400</v>
      </c>
      <c r="F140" s="5" t="s">
        <v>9</v>
      </c>
      <c r="G140" s="2" t="s">
        <v>16</v>
      </c>
    </row>
    <row r="141" spans="1:7" x14ac:dyDescent="0.25">
      <c r="A141" s="11">
        <v>127</v>
      </c>
      <c r="B141" s="5" t="s">
        <v>15</v>
      </c>
      <c r="C141" s="11" t="s">
        <v>15</v>
      </c>
      <c r="D141" s="5" t="s">
        <v>15</v>
      </c>
      <c r="E141" s="8">
        <v>31.68</v>
      </c>
      <c r="F141" s="5" t="s">
        <v>9</v>
      </c>
      <c r="G141" s="2" t="s">
        <v>700</v>
      </c>
    </row>
    <row r="142" spans="1:7" x14ac:dyDescent="0.25">
      <c r="A142" s="11">
        <v>128</v>
      </c>
      <c r="B142" s="5" t="s">
        <v>1444</v>
      </c>
      <c r="C142" s="11">
        <v>42363414238</v>
      </c>
      <c r="D142" s="5" t="s">
        <v>1445</v>
      </c>
      <c r="E142" s="8">
        <f>4072.12+1073.26</f>
        <v>5145.38</v>
      </c>
      <c r="F142" s="5" t="s">
        <v>9</v>
      </c>
      <c r="G142" s="2" t="s">
        <v>845</v>
      </c>
    </row>
    <row r="143" spans="1:7" x14ac:dyDescent="0.25">
      <c r="A143" s="11">
        <v>129</v>
      </c>
      <c r="B143" s="5" t="s">
        <v>223</v>
      </c>
      <c r="C143" s="11" t="s">
        <v>225</v>
      </c>
      <c r="D143" s="5" t="s">
        <v>224</v>
      </c>
      <c r="E143" s="8">
        <f>2199+1270</f>
        <v>3469</v>
      </c>
      <c r="F143" s="5" t="s">
        <v>9</v>
      </c>
      <c r="G143" s="2" t="s">
        <v>21</v>
      </c>
    </row>
    <row r="144" spans="1:7" x14ac:dyDescent="0.25">
      <c r="A144" s="11">
        <v>130</v>
      </c>
      <c r="B144" s="5" t="s">
        <v>350</v>
      </c>
      <c r="C144" s="11">
        <v>94505281348</v>
      </c>
      <c r="D144" s="5" t="s">
        <v>352</v>
      </c>
      <c r="E144" s="8">
        <f>2*165.23</f>
        <v>330.46</v>
      </c>
      <c r="F144" s="5" t="s">
        <v>9</v>
      </c>
      <c r="G144" s="2" t="s">
        <v>211</v>
      </c>
    </row>
    <row r="145" spans="1:7" x14ac:dyDescent="0.25">
      <c r="A145" s="11">
        <v>131</v>
      </c>
      <c r="B145" s="5" t="s">
        <v>597</v>
      </c>
      <c r="C145" s="11">
        <v>78131970792</v>
      </c>
      <c r="D145" s="5" t="s">
        <v>598</v>
      </c>
      <c r="E145" s="8">
        <f>717.5+312.5+237.5+862.5</f>
        <v>2130</v>
      </c>
      <c r="F145" s="5" t="s">
        <v>9</v>
      </c>
      <c r="G145" s="2" t="s">
        <v>178</v>
      </c>
    </row>
    <row r="146" spans="1:7" x14ac:dyDescent="0.25">
      <c r="A146" s="11">
        <v>132</v>
      </c>
      <c r="B146" s="19" t="s">
        <v>466</v>
      </c>
      <c r="C146" s="33">
        <v>30568370357</v>
      </c>
      <c r="D146" s="19" t="s">
        <v>467</v>
      </c>
      <c r="E146" s="15">
        <f>200+312.5+190</f>
        <v>702.5</v>
      </c>
      <c r="F146" s="19" t="s">
        <v>9</v>
      </c>
      <c r="G146" s="26" t="s">
        <v>211</v>
      </c>
    </row>
    <row r="147" spans="1:7" x14ac:dyDescent="0.25">
      <c r="A147" s="11">
        <v>133</v>
      </c>
      <c r="B147" s="5" t="s">
        <v>199</v>
      </c>
      <c r="C147" s="12" t="s">
        <v>201</v>
      </c>
      <c r="D147" s="5" t="s">
        <v>200</v>
      </c>
      <c r="E147" s="8">
        <v>6578.5</v>
      </c>
      <c r="F147" s="5" t="s">
        <v>9</v>
      </c>
      <c r="G147" s="2" t="s">
        <v>21</v>
      </c>
    </row>
    <row r="148" spans="1:7" x14ac:dyDescent="0.25">
      <c r="A148" s="11">
        <v>134</v>
      </c>
      <c r="B148" s="5" t="s">
        <v>326</v>
      </c>
      <c r="C148" s="11">
        <v>83157399243</v>
      </c>
      <c r="D148" s="5" t="s">
        <v>327</v>
      </c>
      <c r="E148" s="8">
        <f>675+75+381.25+451.25</f>
        <v>1582.5</v>
      </c>
      <c r="F148" s="5" t="s">
        <v>9</v>
      </c>
      <c r="G148" s="2" t="s">
        <v>21</v>
      </c>
    </row>
    <row r="149" spans="1:7" x14ac:dyDescent="0.25">
      <c r="A149" s="11">
        <v>135</v>
      </c>
      <c r="B149" s="5" t="s">
        <v>696</v>
      </c>
      <c r="C149" s="11">
        <v>51645411160</v>
      </c>
      <c r="D149" s="5" t="s">
        <v>697</v>
      </c>
      <c r="E149" s="8">
        <f>63.88+49.8+60.28</f>
        <v>173.96</v>
      </c>
      <c r="F149" s="5" t="s">
        <v>9</v>
      </c>
      <c r="G149" s="2" t="s">
        <v>21</v>
      </c>
    </row>
    <row r="150" spans="1:7" x14ac:dyDescent="0.25">
      <c r="A150" s="11">
        <v>136</v>
      </c>
      <c r="B150" s="5" t="s">
        <v>850</v>
      </c>
      <c r="C150" s="11">
        <v>18545665005</v>
      </c>
      <c r="D150" s="5" t="s">
        <v>352</v>
      </c>
      <c r="E150" s="8">
        <f>3800+750</f>
        <v>4550</v>
      </c>
      <c r="F150" s="5" t="s">
        <v>9</v>
      </c>
      <c r="G150" s="2" t="s">
        <v>21</v>
      </c>
    </row>
    <row r="151" spans="1:7" x14ac:dyDescent="0.25">
      <c r="A151" s="11">
        <v>137</v>
      </c>
      <c r="B151" s="5" t="s">
        <v>442</v>
      </c>
      <c r="C151" s="11">
        <v>92378435625</v>
      </c>
      <c r="D151" s="5" t="s">
        <v>443</v>
      </c>
      <c r="E151" s="8">
        <v>215.25</v>
      </c>
      <c r="F151" s="5" t="s">
        <v>9</v>
      </c>
      <c r="G151" s="2" t="s">
        <v>90</v>
      </c>
    </row>
    <row r="152" spans="1:7" x14ac:dyDescent="0.25">
      <c r="A152" s="11">
        <v>138</v>
      </c>
      <c r="B152" s="5" t="s">
        <v>1496</v>
      </c>
      <c r="C152" s="11">
        <v>74961117120</v>
      </c>
      <c r="D152" s="5" t="s">
        <v>1497</v>
      </c>
      <c r="E152" s="8">
        <v>95.4</v>
      </c>
      <c r="F152" s="5" t="s">
        <v>9</v>
      </c>
      <c r="G152" s="2" t="s">
        <v>130</v>
      </c>
    </row>
    <row r="153" spans="1:7" x14ac:dyDescent="0.25">
      <c r="A153" s="11">
        <v>139</v>
      </c>
      <c r="B153" s="5" t="s">
        <v>1290</v>
      </c>
      <c r="C153" s="11" t="s">
        <v>1151</v>
      </c>
      <c r="D153" s="5" t="s">
        <v>1152</v>
      </c>
      <c r="E153" s="8">
        <v>5000</v>
      </c>
      <c r="F153" s="5" t="s">
        <v>9</v>
      </c>
      <c r="G153" s="2" t="s">
        <v>21</v>
      </c>
    </row>
    <row r="154" spans="1:7" x14ac:dyDescent="0.25">
      <c r="A154" s="11">
        <v>140</v>
      </c>
      <c r="B154" s="5" t="s">
        <v>415</v>
      </c>
      <c r="C154" s="11">
        <v>31826907316</v>
      </c>
      <c r="D154" s="5" t="s">
        <v>416</v>
      </c>
      <c r="E154" s="8">
        <v>66000</v>
      </c>
      <c r="F154" s="5" t="s">
        <v>9</v>
      </c>
      <c r="G154" s="2" t="s">
        <v>21</v>
      </c>
    </row>
    <row r="155" spans="1:7" x14ac:dyDescent="0.25">
      <c r="A155" s="11">
        <v>141</v>
      </c>
      <c r="B155" s="5" t="s">
        <v>444</v>
      </c>
      <c r="C155" s="11">
        <v>56290033854</v>
      </c>
      <c r="D155" s="5" t="s">
        <v>599</v>
      </c>
      <c r="E155" s="8">
        <v>136.25</v>
      </c>
      <c r="F155" s="5" t="s">
        <v>9</v>
      </c>
      <c r="G155" s="2" t="s">
        <v>132</v>
      </c>
    </row>
    <row r="156" spans="1:7" x14ac:dyDescent="0.25">
      <c r="A156" s="11">
        <v>142</v>
      </c>
      <c r="B156" s="19" t="s">
        <v>1280</v>
      </c>
      <c r="C156" s="33">
        <v>94167807411</v>
      </c>
      <c r="D156" s="19" t="s">
        <v>1281</v>
      </c>
      <c r="E156" s="8">
        <f>72.75+70.85+66.75</f>
        <v>210.35</v>
      </c>
      <c r="F156" s="5" t="s">
        <v>9</v>
      </c>
      <c r="G156" s="2" t="s">
        <v>21</v>
      </c>
    </row>
    <row r="157" spans="1:7" x14ac:dyDescent="0.25">
      <c r="A157" s="11">
        <v>143</v>
      </c>
      <c r="B157" s="5" t="s">
        <v>580</v>
      </c>
      <c r="C157" s="11">
        <v>98164456048</v>
      </c>
      <c r="D157" s="5" t="s">
        <v>581</v>
      </c>
      <c r="E157" s="8">
        <v>1624.95</v>
      </c>
      <c r="F157" s="5" t="s">
        <v>9</v>
      </c>
      <c r="G157" s="31" t="s">
        <v>138</v>
      </c>
    </row>
    <row r="158" spans="1:7" x14ac:dyDescent="0.25">
      <c r="A158" s="11">
        <v>144</v>
      </c>
      <c r="B158" s="5" t="s">
        <v>1211</v>
      </c>
      <c r="C158" s="11">
        <v>32034925094</v>
      </c>
      <c r="D158" s="5" t="s">
        <v>1212</v>
      </c>
      <c r="E158" s="8">
        <v>40</v>
      </c>
      <c r="F158" s="5" t="s">
        <v>9</v>
      </c>
      <c r="G158" s="2" t="s">
        <v>21</v>
      </c>
    </row>
    <row r="159" spans="1:7" x14ac:dyDescent="0.25">
      <c r="A159" s="11">
        <v>145</v>
      </c>
      <c r="B159" s="5" t="s">
        <v>607</v>
      </c>
      <c r="C159" s="11">
        <v>62595301902</v>
      </c>
      <c r="D159" s="5" t="s">
        <v>608</v>
      </c>
      <c r="E159" s="8">
        <v>2893.18</v>
      </c>
      <c r="F159" s="5" t="s">
        <v>9</v>
      </c>
      <c r="G159" s="2" t="s">
        <v>21</v>
      </c>
    </row>
    <row r="160" spans="1:7" x14ac:dyDescent="0.25">
      <c r="A160" s="11">
        <v>146</v>
      </c>
      <c r="B160" s="5" t="s">
        <v>549</v>
      </c>
      <c r="C160" s="11">
        <v>92712381028</v>
      </c>
      <c r="D160" s="5" t="s">
        <v>550</v>
      </c>
      <c r="E160" s="8">
        <v>21.3</v>
      </c>
      <c r="F160" s="5" t="s">
        <v>9</v>
      </c>
      <c r="G160" s="2" t="s">
        <v>21</v>
      </c>
    </row>
    <row r="161" spans="1:7" x14ac:dyDescent="0.25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42469.25</v>
      </c>
      <c r="F161" s="5" t="s">
        <v>9</v>
      </c>
      <c r="G161" s="2" t="s">
        <v>21</v>
      </c>
    </row>
    <row r="162" spans="1:7" x14ac:dyDescent="0.25">
      <c r="A162" s="11">
        <v>148</v>
      </c>
      <c r="B162" s="5" t="s">
        <v>1072</v>
      </c>
      <c r="C162" s="12" t="s">
        <v>1073</v>
      </c>
      <c r="D162" s="5" t="s">
        <v>1074</v>
      </c>
      <c r="E162" s="8">
        <v>12047.41</v>
      </c>
      <c r="F162" s="5" t="s">
        <v>9</v>
      </c>
      <c r="G162" s="2" t="s">
        <v>21</v>
      </c>
    </row>
    <row r="163" spans="1:7" x14ac:dyDescent="0.25">
      <c r="A163" s="11">
        <v>149</v>
      </c>
      <c r="B163" s="5" t="s">
        <v>600</v>
      </c>
      <c r="C163" s="11" t="s">
        <v>601</v>
      </c>
      <c r="D163" s="5" t="s">
        <v>602</v>
      </c>
      <c r="E163" s="8">
        <v>1778</v>
      </c>
      <c r="F163" s="5" t="s">
        <v>9</v>
      </c>
      <c r="G163" s="2" t="s">
        <v>21</v>
      </c>
    </row>
    <row r="164" spans="1:7" x14ac:dyDescent="0.25">
      <c r="A164" s="11">
        <v>150</v>
      </c>
      <c r="B164" s="5" t="s">
        <v>233</v>
      </c>
      <c r="C164" s="11">
        <v>98656691838</v>
      </c>
      <c r="D164" s="5" t="s">
        <v>234</v>
      </c>
      <c r="E164" s="8">
        <f>6144.98+5950</f>
        <v>12094.98</v>
      </c>
      <c r="F164" s="5" t="s">
        <v>9</v>
      </c>
      <c r="G164" s="2" t="s">
        <v>21</v>
      </c>
    </row>
    <row r="165" spans="1:7" x14ac:dyDescent="0.25">
      <c r="A165" s="11">
        <v>151</v>
      </c>
      <c r="B165" s="5" t="s">
        <v>560</v>
      </c>
      <c r="C165" s="12">
        <v>39881074944</v>
      </c>
      <c r="D165" s="5" t="s">
        <v>561</v>
      </c>
      <c r="E165" s="8">
        <v>139.13</v>
      </c>
      <c r="F165" s="5" t="s">
        <v>9</v>
      </c>
      <c r="G165" s="2" t="s">
        <v>21</v>
      </c>
    </row>
    <row r="166" spans="1:7" x14ac:dyDescent="0.25">
      <c r="A166" s="11">
        <v>152</v>
      </c>
      <c r="B166" s="5" t="s">
        <v>609</v>
      </c>
      <c r="C166" s="11" t="s">
        <v>611</v>
      </c>
      <c r="D166" s="5" t="s">
        <v>610</v>
      </c>
      <c r="E166" s="8">
        <v>145.1</v>
      </c>
      <c r="F166" s="5" t="s">
        <v>9</v>
      </c>
      <c r="G166" s="2" t="s">
        <v>21</v>
      </c>
    </row>
    <row r="167" spans="1:7" x14ac:dyDescent="0.25">
      <c r="A167" s="11">
        <v>153</v>
      </c>
      <c r="B167" s="36" t="s">
        <v>86</v>
      </c>
      <c r="C167" s="50" t="s">
        <v>88</v>
      </c>
      <c r="D167" s="36" t="s">
        <v>89</v>
      </c>
      <c r="E167" s="20">
        <v>1161.6500000000001</v>
      </c>
      <c r="F167" s="36" t="s">
        <v>9</v>
      </c>
      <c r="G167" s="37" t="s">
        <v>87</v>
      </c>
    </row>
    <row r="168" spans="1:7" x14ac:dyDescent="0.25">
      <c r="A168" s="11">
        <v>154</v>
      </c>
      <c r="B168" s="5" t="s">
        <v>1400</v>
      </c>
      <c r="C168" s="11">
        <v>50056328499</v>
      </c>
      <c r="D168" s="5" t="s">
        <v>1401</v>
      </c>
      <c r="E168" s="8">
        <v>1254.06</v>
      </c>
      <c r="F168" s="5" t="s">
        <v>9</v>
      </c>
      <c r="G168" s="2" t="s">
        <v>453</v>
      </c>
    </row>
    <row r="169" spans="1:7" x14ac:dyDescent="0.25">
      <c r="A169" s="11">
        <v>155</v>
      </c>
      <c r="B169" s="5" t="s">
        <v>1354</v>
      </c>
      <c r="C169" s="11" t="s">
        <v>1355</v>
      </c>
      <c r="D169" s="5" t="s">
        <v>1356</v>
      </c>
      <c r="E169" s="8">
        <v>2485.9499999999998</v>
      </c>
      <c r="F169" s="5" t="s">
        <v>9</v>
      </c>
      <c r="G169" s="2" t="s">
        <v>21</v>
      </c>
    </row>
    <row r="170" spans="1:7" x14ac:dyDescent="0.25">
      <c r="A170" s="11">
        <v>156</v>
      </c>
      <c r="B170" s="5" t="s">
        <v>1298</v>
      </c>
      <c r="C170" s="11">
        <v>29743547503</v>
      </c>
      <c r="D170" s="5" t="s">
        <v>1299</v>
      </c>
      <c r="E170" s="8">
        <v>3314</v>
      </c>
      <c r="F170" s="5" t="s">
        <v>9</v>
      </c>
      <c r="G170" s="2" t="s">
        <v>1015</v>
      </c>
    </row>
    <row r="171" spans="1:7" x14ac:dyDescent="0.25">
      <c r="A171" s="11">
        <v>157</v>
      </c>
      <c r="B171" s="5" t="s">
        <v>1341</v>
      </c>
      <c r="C171" s="11">
        <v>10613092990</v>
      </c>
      <c r="D171" s="5" t="s">
        <v>1342</v>
      </c>
      <c r="E171" s="8">
        <v>1492.98</v>
      </c>
      <c r="F171" s="5" t="s">
        <v>9</v>
      </c>
      <c r="G171" s="2" t="s">
        <v>21</v>
      </c>
    </row>
    <row r="172" spans="1:7" x14ac:dyDescent="0.25">
      <c r="A172" s="11">
        <v>158</v>
      </c>
      <c r="B172" s="5" t="s">
        <v>381</v>
      </c>
      <c r="C172" s="11" t="s">
        <v>1065</v>
      </c>
      <c r="D172" s="5" t="s">
        <v>392</v>
      </c>
      <c r="E172" s="8">
        <v>2000</v>
      </c>
      <c r="F172" s="5" t="s">
        <v>9</v>
      </c>
      <c r="G172" s="2" t="s">
        <v>21</v>
      </c>
    </row>
    <row r="173" spans="1:7" x14ac:dyDescent="0.25">
      <c r="A173" s="11">
        <v>159</v>
      </c>
      <c r="B173" s="5" t="s">
        <v>1192</v>
      </c>
      <c r="C173" s="11">
        <v>20578784440</v>
      </c>
      <c r="D173" s="5" t="s">
        <v>1193</v>
      </c>
      <c r="E173" s="8">
        <v>156.25</v>
      </c>
      <c r="F173" s="5" t="s">
        <v>9</v>
      </c>
      <c r="G173" s="2" t="s">
        <v>21</v>
      </c>
    </row>
    <row r="174" spans="1:7" x14ac:dyDescent="0.25">
      <c r="A174" s="11">
        <v>160</v>
      </c>
      <c r="B174" s="5" t="s">
        <v>328</v>
      </c>
      <c r="C174" s="11" t="s">
        <v>329</v>
      </c>
      <c r="D174" s="5" t="s">
        <v>486</v>
      </c>
      <c r="E174" s="8">
        <v>425.57</v>
      </c>
      <c r="F174" s="5" t="s">
        <v>9</v>
      </c>
      <c r="G174" s="2" t="s">
        <v>21</v>
      </c>
    </row>
    <row r="175" spans="1:7" x14ac:dyDescent="0.25">
      <c r="A175" s="11">
        <v>161</v>
      </c>
      <c r="B175" s="5" t="s">
        <v>264</v>
      </c>
      <c r="C175" s="11" t="s">
        <v>266</v>
      </c>
      <c r="D175" s="5" t="s">
        <v>265</v>
      </c>
      <c r="E175" s="8">
        <v>67.73</v>
      </c>
      <c r="F175" s="5" t="s">
        <v>9</v>
      </c>
      <c r="G175" s="2" t="s">
        <v>21</v>
      </c>
    </row>
    <row r="176" spans="1:7" x14ac:dyDescent="0.25">
      <c r="A176" s="11">
        <v>162</v>
      </c>
      <c r="B176" s="5" t="s">
        <v>1172</v>
      </c>
      <c r="C176" s="12" t="s">
        <v>1173</v>
      </c>
      <c r="D176" s="5" t="s">
        <v>1174</v>
      </c>
      <c r="E176" s="8">
        <v>120</v>
      </c>
      <c r="F176" s="5" t="s">
        <v>9</v>
      </c>
      <c r="G176" s="2" t="s">
        <v>21</v>
      </c>
    </row>
    <row r="177" spans="1:7" x14ac:dyDescent="0.25">
      <c r="A177" s="11">
        <v>163</v>
      </c>
      <c r="B177" s="5" t="s">
        <v>536</v>
      </c>
      <c r="C177" s="11">
        <v>33548604975</v>
      </c>
      <c r="D177" s="5" t="s">
        <v>537</v>
      </c>
      <c r="E177" s="8">
        <v>170</v>
      </c>
      <c r="F177" s="5" t="s">
        <v>9</v>
      </c>
      <c r="G177" s="2" t="s">
        <v>21</v>
      </c>
    </row>
    <row r="178" spans="1:7" x14ac:dyDescent="0.25">
      <c r="A178" s="11">
        <v>164</v>
      </c>
      <c r="B178" s="5" t="s">
        <v>1155</v>
      </c>
      <c r="C178" s="11">
        <v>73927927880</v>
      </c>
      <c r="D178" s="5" t="s">
        <v>1156</v>
      </c>
      <c r="E178" s="8">
        <v>2556.25</v>
      </c>
      <c r="F178" s="5" t="s">
        <v>9</v>
      </c>
      <c r="G178" s="2" t="s">
        <v>21</v>
      </c>
    </row>
    <row r="179" spans="1:7" x14ac:dyDescent="0.25">
      <c r="A179" s="11">
        <v>165</v>
      </c>
      <c r="B179" s="5" t="s">
        <v>800</v>
      </c>
      <c r="C179" s="11">
        <v>80201525824</v>
      </c>
      <c r="D179" s="5" t="s">
        <v>801</v>
      </c>
      <c r="E179" s="8">
        <v>1063.7</v>
      </c>
      <c r="F179" s="5" t="s">
        <v>9</v>
      </c>
      <c r="G179" s="2" t="s">
        <v>21</v>
      </c>
    </row>
    <row r="180" spans="1:7" x14ac:dyDescent="0.25">
      <c r="A180" s="11">
        <v>166</v>
      </c>
      <c r="B180" s="5" t="s">
        <v>351</v>
      </c>
      <c r="C180" s="11">
        <v>47590958254</v>
      </c>
      <c r="D180" s="5" t="s">
        <v>353</v>
      </c>
      <c r="E180" s="8">
        <v>41.25</v>
      </c>
      <c r="F180" s="5" t="s">
        <v>9</v>
      </c>
      <c r="G180" s="2" t="s">
        <v>211</v>
      </c>
    </row>
    <row r="181" spans="1:7" x14ac:dyDescent="0.25">
      <c r="A181" s="11">
        <v>167</v>
      </c>
      <c r="B181" s="5" t="s">
        <v>527</v>
      </c>
      <c r="C181" s="11" t="s">
        <v>528</v>
      </c>
      <c r="D181" s="5" t="s">
        <v>529</v>
      </c>
      <c r="E181" s="8">
        <v>1450.55</v>
      </c>
      <c r="F181" s="5" t="s">
        <v>9</v>
      </c>
      <c r="G181" s="2" t="s">
        <v>21</v>
      </c>
    </row>
    <row r="182" spans="1:7" x14ac:dyDescent="0.25">
      <c r="A182" s="11">
        <v>168</v>
      </c>
      <c r="B182" s="5" t="s">
        <v>1498</v>
      </c>
      <c r="C182" s="11" t="s">
        <v>1499</v>
      </c>
      <c r="D182" s="5" t="s">
        <v>1500</v>
      </c>
      <c r="E182" s="8">
        <v>27.85</v>
      </c>
      <c r="F182" s="5" t="s">
        <v>9</v>
      </c>
      <c r="G182" s="2" t="s">
        <v>211</v>
      </c>
    </row>
    <row r="183" spans="1:7" x14ac:dyDescent="0.25">
      <c r="A183" s="11">
        <v>169</v>
      </c>
      <c r="B183" s="5" t="s">
        <v>1501</v>
      </c>
      <c r="C183" s="11">
        <v>52975458232</v>
      </c>
      <c r="D183" s="5" t="s">
        <v>1502</v>
      </c>
      <c r="E183" s="8">
        <v>574.88</v>
      </c>
      <c r="F183" s="5" t="s">
        <v>9</v>
      </c>
      <c r="G183" s="2" t="s">
        <v>1085</v>
      </c>
    </row>
    <row r="184" spans="1:7" x14ac:dyDescent="0.25">
      <c r="A184" s="11">
        <v>170</v>
      </c>
      <c r="B184" s="5" t="s">
        <v>1503</v>
      </c>
      <c r="C184" s="11" t="s">
        <v>1504</v>
      </c>
      <c r="D184" s="5" t="s">
        <v>1505</v>
      </c>
      <c r="E184" s="8">
        <v>55.75</v>
      </c>
      <c r="F184" s="5" t="s">
        <v>9</v>
      </c>
      <c r="G184" s="2" t="s">
        <v>21</v>
      </c>
    </row>
    <row r="185" spans="1:7" x14ac:dyDescent="0.25">
      <c r="A185" s="11">
        <v>171</v>
      </c>
      <c r="B185" s="5" t="s">
        <v>1506</v>
      </c>
      <c r="C185" s="11">
        <v>16354758266</v>
      </c>
      <c r="D185" s="5" t="s">
        <v>1507</v>
      </c>
      <c r="E185" s="8">
        <v>41.63</v>
      </c>
      <c r="F185" s="5" t="s">
        <v>9</v>
      </c>
      <c r="G185" s="2" t="s">
        <v>21</v>
      </c>
    </row>
    <row r="186" spans="1:7" x14ac:dyDescent="0.25">
      <c r="A186" s="11">
        <v>172</v>
      </c>
      <c r="B186" s="5" t="s">
        <v>1508</v>
      </c>
      <c r="C186" s="11" t="s">
        <v>1509</v>
      </c>
      <c r="D186" s="5" t="s">
        <v>1510</v>
      </c>
      <c r="E186" s="8">
        <v>2509</v>
      </c>
      <c r="F186" s="5" t="s">
        <v>9</v>
      </c>
      <c r="G186" s="2" t="s">
        <v>21</v>
      </c>
    </row>
    <row r="187" spans="1:7" x14ac:dyDescent="0.25">
      <c r="A187" s="11">
        <v>173</v>
      </c>
      <c r="B187" s="5" t="s">
        <v>625</v>
      </c>
      <c r="C187" s="11">
        <v>43764396102</v>
      </c>
      <c r="D187" s="5" t="s">
        <v>626</v>
      </c>
      <c r="E187" s="8">
        <f>6630+61.75</f>
        <v>6691.75</v>
      </c>
      <c r="F187" s="5" t="s">
        <v>9</v>
      </c>
      <c r="G187" s="2" t="s">
        <v>21</v>
      </c>
    </row>
    <row r="188" spans="1:7" x14ac:dyDescent="0.25">
      <c r="A188" s="11">
        <v>174</v>
      </c>
      <c r="B188" s="5" t="s">
        <v>1478</v>
      </c>
      <c r="C188" s="11">
        <v>42211007051</v>
      </c>
      <c r="D188" s="5" t="s">
        <v>1479</v>
      </c>
      <c r="E188" s="8">
        <v>992.19</v>
      </c>
      <c r="F188" s="5" t="s">
        <v>9</v>
      </c>
      <c r="G188" s="2" t="s">
        <v>211</v>
      </c>
    </row>
    <row r="189" spans="1:7" x14ac:dyDescent="0.25">
      <c r="A189" s="11">
        <v>175</v>
      </c>
      <c r="B189" s="5" t="s">
        <v>714</v>
      </c>
      <c r="C189" s="11">
        <v>31190261041</v>
      </c>
      <c r="D189" s="5" t="s">
        <v>715</v>
      </c>
      <c r="E189" s="8">
        <v>257</v>
      </c>
      <c r="F189" s="5" t="s">
        <v>9</v>
      </c>
      <c r="G189" s="2" t="s">
        <v>21</v>
      </c>
    </row>
    <row r="190" spans="1:7" x14ac:dyDescent="0.25">
      <c r="A190" s="11">
        <v>176</v>
      </c>
      <c r="B190" s="5" t="s">
        <v>986</v>
      </c>
      <c r="C190" s="12">
        <v>71116385993</v>
      </c>
      <c r="D190" s="5" t="s">
        <v>987</v>
      </c>
      <c r="E190" s="8">
        <f>162.62+136.12</f>
        <v>298.74</v>
      </c>
      <c r="F190" s="5" t="s">
        <v>9</v>
      </c>
      <c r="G190" s="2" t="s">
        <v>21</v>
      </c>
    </row>
    <row r="191" spans="1:7" x14ac:dyDescent="0.25">
      <c r="A191" s="11">
        <v>177</v>
      </c>
      <c r="B191" s="5" t="s">
        <v>461</v>
      </c>
      <c r="C191" s="11">
        <v>93716144137</v>
      </c>
      <c r="D191" s="5" t="s">
        <v>462</v>
      </c>
      <c r="E191" s="8">
        <f>2*391.2</f>
        <v>782.4</v>
      </c>
      <c r="F191" s="5" t="s">
        <v>9</v>
      </c>
      <c r="G191" s="2" t="s">
        <v>21</v>
      </c>
    </row>
    <row r="192" spans="1:7" x14ac:dyDescent="0.25">
      <c r="A192" s="11">
        <v>178</v>
      </c>
      <c r="B192" s="19" t="s">
        <v>1008</v>
      </c>
      <c r="C192" s="39">
        <v>53951737793</v>
      </c>
      <c r="D192" s="19" t="s">
        <v>1009</v>
      </c>
      <c r="E192" s="8">
        <v>787.5</v>
      </c>
      <c r="F192" s="5" t="s">
        <v>9</v>
      </c>
      <c r="G192" s="2" t="s">
        <v>21</v>
      </c>
    </row>
    <row r="193" spans="1:7" x14ac:dyDescent="0.25">
      <c r="A193" s="11">
        <v>179</v>
      </c>
      <c r="B193" s="5" t="s">
        <v>357</v>
      </c>
      <c r="C193" s="11">
        <v>7882320813</v>
      </c>
      <c r="D193" s="5" t="s">
        <v>1184</v>
      </c>
      <c r="E193" s="8">
        <f>187.5+1890.18</f>
        <v>2077.6800000000003</v>
      </c>
      <c r="F193" s="5" t="s">
        <v>9</v>
      </c>
      <c r="G193" s="2" t="s">
        <v>263</v>
      </c>
    </row>
    <row r="194" spans="1:7" x14ac:dyDescent="0.25">
      <c r="A194" s="11">
        <v>180</v>
      </c>
      <c r="B194" s="5" t="s">
        <v>117</v>
      </c>
      <c r="C194" s="11">
        <v>19422090987</v>
      </c>
      <c r="D194" s="5" t="s">
        <v>155</v>
      </c>
      <c r="E194" s="8">
        <v>77.63</v>
      </c>
      <c r="F194" s="5" t="s">
        <v>9</v>
      </c>
      <c r="G194" s="2" t="s">
        <v>21</v>
      </c>
    </row>
    <row r="195" spans="1:7" x14ac:dyDescent="0.25">
      <c r="A195" s="11">
        <v>181</v>
      </c>
      <c r="B195" s="5" t="s">
        <v>344</v>
      </c>
      <c r="C195" s="11">
        <v>50467974870</v>
      </c>
      <c r="D195" s="5" t="s">
        <v>345</v>
      </c>
      <c r="E195" s="8">
        <v>425.96</v>
      </c>
      <c r="F195" s="5" t="s">
        <v>9</v>
      </c>
      <c r="G195" s="2" t="s">
        <v>116</v>
      </c>
    </row>
    <row r="196" spans="1:7" x14ac:dyDescent="0.25">
      <c r="A196" s="11">
        <v>182</v>
      </c>
      <c r="B196" s="5" t="s">
        <v>896</v>
      </c>
      <c r="C196" s="11">
        <v>76025987753</v>
      </c>
      <c r="D196" s="5" t="s">
        <v>897</v>
      </c>
      <c r="E196" s="8">
        <v>1150</v>
      </c>
      <c r="F196" s="5" t="s">
        <v>9</v>
      </c>
      <c r="G196" s="2" t="s">
        <v>21</v>
      </c>
    </row>
    <row r="197" spans="1:7" x14ac:dyDescent="0.25">
      <c r="A197" s="11">
        <v>183</v>
      </c>
      <c r="B197" s="30" t="s">
        <v>517</v>
      </c>
      <c r="C197" s="34">
        <v>58674303975</v>
      </c>
      <c r="D197" s="30" t="s">
        <v>518</v>
      </c>
      <c r="E197" s="8">
        <v>737.5</v>
      </c>
      <c r="F197" s="5" t="s">
        <v>9</v>
      </c>
      <c r="G197" s="2" t="s">
        <v>116</v>
      </c>
    </row>
    <row r="198" spans="1:7" x14ac:dyDescent="0.25">
      <c r="A198" s="11">
        <v>184</v>
      </c>
      <c r="B198" s="5" t="s">
        <v>1511</v>
      </c>
      <c r="C198" s="12">
        <v>32874587842</v>
      </c>
      <c r="D198" s="5" t="s">
        <v>1512</v>
      </c>
      <c r="E198" s="8">
        <v>396.55</v>
      </c>
      <c r="F198" s="5" t="s">
        <v>9</v>
      </c>
      <c r="G198" s="2" t="s">
        <v>211</v>
      </c>
    </row>
    <row r="199" spans="1:7" x14ac:dyDescent="0.25">
      <c r="A199" s="11">
        <v>185</v>
      </c>
      <c r="B199" s="5" t="s">
        <v>1513</v>
      </c>
      <c r="C199" s="11">
        <v>79777981902</v>
      </c>
      <c r="D199" s="5" t="s">
        <v>1514</v>
      </c>
      <c r="E199" s="8">
        <v>181.3</v>
      </c>
      <c r="F199" s="5" t="s">
        <v>9</v>
      </c>
      <c r="G199" s="2" t="s">
        <v>21</v>
      </c>
    </row>
    <row r="200" spans="1:7" x14ac:dyDescent="0.25">
      <c r="A200" s="11">
        <v>186</v>
      </c>
      <c r="B200" s="5" t="s">
        <v>1370</v>
      </c>
      <c r="C200" s="11">
        <v>89021876450</v>
      </c>
      <c r="D200" s="5" t="s">
        <v>1371</v>
      </c>
      <c r="E200" s="8">
        <v>78.2</v>
      </c>
      <c r="F200" s="5" t="s">
        <v>9</v>
      </c>
      <c r="G200" s="2" t="s">
        <v>21</v>
      </c>
    </row>
    <row r="201" spans="1:7" x14ac:dyDescent="0.25">
      <c r="A201" s="11">
        <v>187</v>
      </c>
      <c r="B201" s="5" t="s">
        <v>1515</v>
      </c>
      <c r="C201" s="11">
        <v>62216735860</v>
      </c>
      <c r="D201" s="5" t="s">
        <v>1516</v>
      </c>
      <c r="E201" s="8">
        <v>1862.5</v>
      </c>
      <c r="F201" s="5" t="s">
        <v>9</v>
      </c>
      <c r="G201" s="2" t="s">
        <v>21</v>
      </c>
    </row>
    <row r="202" spans="1:7" x14ac:dyDescent="0.25">
      <c r="A202" s="11">
        <v>188</v>
      </c>
      <c r="B202" s="5" t="s">
        <v>1252</v>
      </c>
      <c r="C202" s="11">
        <v>43699365561</v>
      </c>
      <c r="D202" s="5" t="s">
        <v>1253</v>
      </c>
      <c r="E202" s="8">
        <f>889.69+403</f>
        <v>1292.69</v>
      </c>
      <c r="F202" s="5" t="s">
        <v>9</v>
      </c>
      <c r="G202" s="2" t="s">
        <v>116</v>
      </c>
    </row>
    <row r="203" spans="1:7" x14ac:dyDescent="0.25">
      <c r="A203" s="11">
        <v>189</v>
      </c>
      <c r="B203" s="5" t="s">
        <v>1517</v>
      </c>
      <c r="C203" s="11">
        <v>79730786156</v>
      </c>
      <c r="D203" s="5" t="s">
        <v>1518</v>
      </c>
      <c r="E203" s="8">
        <v>120</v>
      </c>
      <c r="F203" s="5" t="s">
        <v>9</v>
      </c>
      <c r="G203" s="2" t="s">
        <v>241</v>
      </c>
    </row>
    <row r="204" spans="1:7" x14ac:dyDescent="0.25">
      <c r="A204" s="11">
        <v>190</v>
      </c>
      <c r="B204" s="5" t="s">
        <v>662</v>
      </c>
      <c r="C204" s="12" t="s">
        <v>1519</v>
      </c>
      <c r="D204" s="5" t="s">
        <v>664</v>
      </c>
      <c r="E204" s="8">
        <v>276.83</v>
      </c>
      <c r="F204" s="5" t="s">
        <v>9</v>
      </c>
      <c r="G204" s="2" t="s">
        <v>968</v>
      </c>
    </row>
    <row r="205" spans="1:7" x14ac:dyDescent="0.25">
      <c r="A205" s="11">
        <v>191</v>
      </c>
      <c r="B205" s="5" t="s">
        <v>1108</v>
      </c>
      <c r="C205" s="12" t="s">
        <v>1109</v>
      </c>
      <c r="D205" s="5" t="s">
        <v>1110</v>
      </c>
      <c r="E205" s="8">
        <f>3000+2957.81</f>
        <v>5957.8099999999995</v>
      </c>
      <c r="F205" s="5" t="s">
        <v>9</v>
      </c>
      <c r="G205" s="2" t="s">
        <v>255</v>
      </c>
    </row>
    <row r="206" spans="1:7" x14ac:dyDescent="0.25">
      <c r="A206" s="11">
        <v>192</v>
      </c>
      <c r="B206" s="19" t="s">
        <v>617</v>
      </c>
      <c r="C206" s="39">
        <v>13278612358</v>
      </c>
      <c r="D206" s="19" t="s">
        <v>618</v>
      </c>
      <c r="E206" s="8">
        <f>462.5+850+150+293.75+1025</f>
        <v>2781.25</v>
      </c>
      <c r="F206" s="5" t="s">
        <v>9</v>
      </c>
      <c r="G206" s="2" t="s">
        <v>178</v>
      </c>
    </row>
    <row r="207" spans="1:7" x14ac:dyDescent="0.25">
      <c r="A207" s="11">
        <v>193</v>
      </c>
      <c r="B207" s="5" t="s">
        <v>1476</v>
      </c>
      <c r="C207" s="11">
        <v>48685654424</v>
      </c>
      <c r="D207" s="5" t="s">
        <v>1477</v>
      </c>
      <c r="E207" s="8">
        <f>10000+13000</f>
        <v>23000</v>
      </c>
      <c r="F207" s="5" t="s">
        <v>9</v>
      </c>
      <c r="G207" s="2" t="s">
        <v>21</v>
      </c>
    </row>
    <row r="208" spans="1:7" x14ac:dyDescent="0.25">
      <c r="A208" s="11">
        <v>194</v>
      </c>
      <c r="B208" s="5" t="s">
        <v>483</v>
      </c>
      <c r="C208" s="12">
        <v>34683682958</v>
      </c>
      <c r="D208" s="5" t="s">
        <v>363</v>
      </c>
      <c r="E208" s="8">
        <f>70.15+71.28</f>
        <v>141.43</v>
      </c>
      <c r="F208" s="5" t="s">
        <v>9</v>
      </c>
      <c r="G208" s="2" t="s">
        <v>241</v>
      </c>
    </row>
    <row r="209" spans="1:7" x14ac:dyDescent="0.25">
      <c r="A209" s="11">
        <v>195</v>
      </c>
      <c r="B209" s="5" t="s">
        <v>1000</v>
      </c>
      <c r="C209" s="11">
        <v>93882118767</v>
      </c>
      <c r="D209" s="5" t="s">
        <v>1001</v>
      </c>
      <c r="E209" s="8">
        <f>3*122.5+108</f>
        <v>475.5</v>
      </c>
      <c r="F209" s="5" t="s">
        <v>9</v>
      </c>
      <c r="G209" s="2" t="s">
        <v>21</v>
      </c>
    </row>
    <row r="210" spans="1:7" x14ac:dyDescent="0.25">
      <c r="A210" s="11">
        <v>196</v>
      </c>
      <c r="B210" s="40" t="s">
        <v>1435</v>
      </c>
      <c r="C210" s="41" t="s">
        <v>1436</v>
      </c>
      <c r="D210" s="40" t="s">
        <v>1437</v>
      </c>
      <c r="E210" s="8">
        <f>4621.41+242.5</f>
        <v>4863.91</v>
      </c>
      <c r="F210" s="5" t="s">
        <v>9</v>
      </c>
      <c r="G210" s="2" t="s">
        <v>116</v>
      </c>
    </row>
    <row r="211" spans="1:7" x14ac:dyDescent="0.25">
      <c r="A211" s="11">
        <v>197</v>
      </c>
      <c r="B211" s="5" t="s">
        <v>476</v>
      </c>
      <c r="C211" s="11">
        <v>44307963093</v>
      </c>
      <c r="D211" s="5" t="s">
        <v>477</v>
      </c>
      <c r="E211" s="8">
        <v>3837.5</v>
      </c>
      <c r="F211" s="5" t="s">
        <v>9</v>
      </c>
      <c r="G211" s="2" t="s">
        <v>21</v>
      </c>
    </row>
    <row r="212" spans="1:7" x14ac:dyDescent="0.25">
      <c r="A212" s="11">
        <v>198</v>
      </c>
      <c r="B212" s="5" t="s">
        <v>295</v>
      </c>
      <c r="C212" s="11">
        <v>17145318195</v>
      </c>
      <c r="D212" s="5" t="s">
        <v>296</v>
      </c>
      <c r="E212" s="8">
        <v>2153.5500000000002</v>
      </c>
      <c r="F212" s="5" t="s">
        <v>9</v>
      </c>
      <c r="G212" s="2" t="s">
        <v>21</v>
      </c>
    </row>
    <row r="213" spans="1:7" x14ac:dyDescent="0.25">
      <c r="A213" s="11">
        <v>199</v>
      </c>
      <c r="B213" s="5" t="s">
        <v>1520</v>
      </c>
      <c r="C213" s="12">
        <v>26690995530</v>
      </c>
      <c r="D213" s="5" t="s">
        <v>1521</v>
      </c>
      <c r="E213" s="8">
        <v>4324.8</v>
      </c>
      <c r="F213" s="5" t="s">
        <v>9</v>
      </c>
      <c r="G213" s="2" t="s">
        <v>255</v>
      </c>
    </row>
    <row r="214" spans="1:7" x14ac:dyDescent="0.25">
      <c r="A214" s="11">
        <v>200</v>
      </c>
      <c r="B214" s="5" t="s">
        <v>843</v>
      </c>
      <c r="C214" s="11">
        <v>79069474349</v>
      </c>
      <c r="D214" s="5" t="s">
        <v>844</v>
      </c>
      <c r="E214" s="8">
        <v>46.4</v>
      </c>
      <c r="F214" s="5" t="s">
        <v>9</v>
      </c>
      <c r="G214" s="2" t="s">
        <v>845</v>
      </c>
    </row>
    <row r="215" spans="1:7" x14ac:dyDescent="0.25">
      <c r="A215" s="11">
        <v>201</v>
      </c>
      <c r="B215" s="5" t="s">
        <v>248</v>
      </c>
      <c r="C215" s="11">
        <v>22740118957</v>
      </c>
      <c r="D215" s="5" t="s">
        <v>249</v>
      </c>
      <c r="E215" s="8">
        <f>231+8408+462</f>
        <v>9101</v>
      </c>
      <c r="F215" s="5" t="s">
        <v>9</v>
      </c>
      <c r="G215" s="2" t="s">
        <v>21</v>
      </c>
    </row>
    <row r="216" spans="1:7" x14ac:dyDescent="0.25">
      <c r="A216" s="11">
        <v>202</v>
      </c>
      <c r="B216" s="5" t="s">
        <v>281</v>
      </c>
      <c r="C216" s="11">
        <v>90439696130</v>
      </c>
      <c r="D216" s="5" t="s">
        <v>282</v>
      </c>
      <c r="E216" s="8">
        <f>52.46+23.39</f>
        <v>75.849999999999994</v>
      </c>
      <c r="F216" s="5" t="s">
        <v>9</v>
      </c>
      <c r="G216" s="2" t="s">
        <v>394</v>
      </c>
    </row>
    <row r="217" spans="1:7" x14ac:dyDescent="0.25">
      <c r="A217" s="11">
        <v>203</v>
      </c>
      <c r="B217" s="19" t="s">
        <v>1372</v>
      </c>
      <c r="C217" s="39">
        <v>58530688474</v>
      </c>
      <c r="D217" s="19" t="s">
        <v>1123</v>
      </c>
      <c r="E217" s="8">
        <f>2*284.66</f>
        <v>569.32000000000005</v>
      </c>
      <c r="F217" s="5" t="s">
        <v>9</v>
      </c>
      <c r="G217" s="2" t="s">
        <v>21</v>
      </c>
    </row>
    <row r="218" spans="1:7" x14ac:dyDescent="0.25">
      <c r="A218" s="11">
        <v>204</v>
      </c>
      <c r="B218" s="5" t="s">
        <v>191</v>
      </c>
      <c r="C218" s="11">
        <v>46289034988</v>
      </c>
      <c r="D218" s="5" t="s">
        <v>193</v>
      </c>
      <c r="E218" s="8">
        <f>936.87+1366.71</f>
        <v>2303.58</v>
      </c>
      <c r="F218" s="5" t="s">
        <v>9</v>
      </c>
      <c r="G218" s="2" t="s">
        <v>192</v>
      </c>
    </row>
    <row r="219" spans="1:7" x14ac:dyDescent="0.25">
      <c r="A219" s="11">
        <v>205</v>
      </c>
      <c r="B219" s="5" t="s">
        <v>252</v>
      </c>
      <c r="C219" s="11">
        <v>47530485643</v>
      </c>
      <c r="D219" s="5" t="s">
        <v>253</v>
      </c>
      <c r="E219" s="8">
        <f>5816.25+572.5</f>
        <v>6388.75</v>
      </c>
      <c r="F219" s="5" t="s">
        <v>9</v>
      </c>
      <c r="G219" s="2" t="s">
        <v>21</v>
      </c>
    </row>
    <row r="220" spans="1:7" x14ac:dyDescent="0.25">
      <c r="A220" s="11">
        <v>206</v>
      </c>
      <c r="B220" s="5" t="s">
        <v>1329</v>
      </c>
      <c r="C220" s="11">
        <v>70922745348</v>
      </c>
      <c r="D220" s="5" t="s">
        <v>1330</v>
      </c>
      <c r="E220" s="8">
        <v>700</v>
      </c>
      <c r="F220" s="5" t="s">
        <v>9</v>
      </c>
      <c r="G220" s="2" t="s">
        <v>21</v>
      </c>
    </row>
    <row r="221" spans="1:7" x14ac:dyDescent="0.25">
      <c r="A221" s="11">
        <v>207</v>
      </c>
      <c r="B221" s="5" t="s">
        <v>586</v>
      </c>
      <c r="C221" s="11">
        <v>82125295985</v>
      </c>
      <c r="D221" s="5" t="s">
        <v>587</v>
      </c>
      <c r="E221" s="8">
        <v>199.63</v>
      </c>
      <c r="F221" s="5" t="s">
        <v>9</v>
      </c>
      <c r="G221" s="2" t="s">
        <v>21</v>
      </c>
    </row>
    <row r="222" spans="1:7" x14ac:dyDescent="0.25">
      <c r="A222" s="11">
        <v>208</v>
      </c>
      <c r="B222" s="21" t="s">
        <v>1419</v>
      </c>
      <c r="C222" s="22">
        <v>22248533094</v>
      </c>
      <c r="D222" s="21" t="s">
        <v>1420</v>
      </c>
      <c r="E222" s="8">
        <f>376.6+339.3</f>
        <v>715.90000000000009</v>
      </c>
      <c r="F222" s="5" t="s">
        <v>9</v>
      </c>
      <c r="G222" s="2" t="s">
        <v>21</v>
      </c>
    </row>
    <row r="223" spans="1:7" x14ac:dyDescent="0.25">
      <c r="A223" s="11">
        <v>209</v>
      </c>
      <c r="B223" s="5" t="s">
        <v>828</v>
      </c>
      <c r="C223" s="12" t="s">
        <v>829</v>
      </c>
      <c r="D223" s="5" t="s">
        <v>830</v>
      </c>
      <c r="E223" s="8">
        <v>68.38</v>
      </c>
      <c r="F223" s="5" t="s">
        <v>9</v>
      </c>
      <c r="G223" s="2" t="s">
        <v>21</v>
      </c>
    </row>
    <row r="224" spans="1:7" x14ac:dyDescent="0.25">
      <c r="A224" s="11">
        <v>210</v>
      </c>
      <c r="B224" s="5" t="s">
        <v>869</v>
      </c>
      <c r="C224" s="12">
        <v>83910501982</v>
      </c>
      <c r="D224" s="5" t="s">
        <v>870</v>
      </c>
      <c r="E224" s="8">
        <f>76.93+411.44</f>
        <v>488.37</v>
      </c>
      <c r="F224" s="5" t="s">
        <v>9</v>
      </c>
      <c r="G224" s="2" t="s">
        <v>21</v>
      </c>
    </row>
    <row r="225" spans="1:7" x14ac:dyDescent="0.25">
      <c r="A225" s="11">
        <v>211</v>
      </c>
      <c r="B225" s="5" t="s">
        <v>303</v>
      </c>
      <c r="C225" s="11">
        <v>40480660548</v>
      </c>
      <c r="D225" s="5" t="s">
        <v>304</v>
      </c>
      <c r="E225" s="8">
        <v>487.5</v>
      </c>
      <c r="F225" s="5" t="s">
        <v>9</v>
      </c>
      <c r="G225" s="2" t="s">
        <v>21</v>
      </c>
    </row>
    <row r="226" spans="1:7" x14ac:dyDescent="0.25">
      <c r="A226" s="11">
        <v>212</v>
      </c>
      <c r="B226" s="5" t="s">
        <v>119</v>
      </c>
      <c r="C226" s="11">
        <v>55326209639</v>
      </c>
      <c r="D226" s="5" t="s">
        <v>158</v>
      </c>
      <c r="E226" s="8">
        <f>293.76+305.63</f>
        <v>599.39</v>
      </c>
      <c r="F226" s="5" t="s">
        <v>9</v>
      </c>
      <c r="G226" s="2" t="s">
        <v>21</v>
      </c>
    </row>
    <row r="227" spans="1:7" x14ac:dyDescent="0.25">
      <c r="A227" s="11">
        <v>213</v>
      </c>
      <c r="B227" s="5" t="s">
        <v>1522</v>
      </c>
      <c r="C227" s="12">
        <v>98887516063</v>
      </c>
      <c r="D227" s="5" t="s">
        <v>1523</v>
      </c>
      <c r="E227" s="8">
        <v>323.88</v>
      </c>
      <c r="F227" s="5" t="s">
        <v>9</v>
      </c>
      <c r="G227" s="2" t="s">
        <v>21</v>
      </c>
    </row>
    <row r="228" spans="1:7" x14ac:dyDescent="0.25">
      <c r="A228" s="11">
        <v>214</v>
      </c>
      <c r="B228" s="5" t="s">
        <v>1524</v>
      </c>
      <c r="C228" s="12">
        <v>61350403800</v>
      </c>
      <c r="D228" s="5" t="s">
        <v>1525</v>
      </c>
      <c r="E228" s="8">
        <v>115.5</v>
      </c>
      <c r="F228" s="5" t="s">
        <v>9</v>
      </c>
      <c r="G228" s="2" t="s">
        <v>21</v>
      </c>
    </row>
    <row r="229" spans="1:7" x14ac:dyDescent="0.25">
      <c r="A229" s="11">
        <v>215</v>
      </c>
      <c r="B229" s="5" t="s">
        <v>940</v>
      </c>
      <c r="C229" s="12" t="s">
        <v>941</v>
      </c>
      <c r="D229" s="5" t="s">
        <v>1526</v>
      </c>
      <c r="E229" s="8">
        <v>3451.62</v>
      </c>
      <c r="F229" s="5" t="s">
        <v>9</v>
      </c>
      <c r="G229" s="2" t="s">
        <v>21</v>
      </c>
    </row>
    <row r="230" spans="1:7" x14ac:dyDescent="0.25">
      <c r="A230" s="11">
        <v>216</v>
      </c>
      <c r="B230" s="5" t="s">
        <v>1266</v>
      </c>
      <c r="C230" s="11">
        <v>75202805533</v>
      </c>
      <c r="D230" s="5" t="s">
        <v>1267</v>
      </c>
      <c r="E230" s="8">
        <f>44.95+27.93+400.65</f>
        <v>473.53</v>
      </c>
      <c r="F230" s="5" t="s">
        <v>9</v>
      </c>
      <c r="G230" s="2" t="s">
        <v>21</v>
      </c>
    </row>
    <row r="231" spans="1:7" x14ac:dyDescent="0.25">
      <c r="A231" s="11">
        <v>217</v>
      </c>
      <c r="B231" s="5" t="s">
        <v>793</v>
      </c>
      <c r="C231" s="11">
        <v>15584765545</v>
      </c>
      <c r="D231" s="5" t="s">
        <v>794</v>
      </c>
      <c r="E231" s="8">
        <v>1625</v>
      </c>
      <c r="F231" s="5" t="s">
        <v>9</v>
      </c>
      <c r="G231" s="2" t="s">
        <v>178</v>
      </c>
    </row>
    <row r="232" spans="1:7" x14ac:dyDescent="0.25">
      <c r="A232" s="11">
        <v>218</v>
      </c>
      <c r="B232" s="21" t="s">
        <v>1262</v>
      </c>
      <c r="C232" s="22">
        <v>69638067216</v>
      </c>
      <c r="D232" s="21" t="s">
        <v>1263</v>
      </c>
      <c r="E232" s="8">
        <v>240.09</v>
      </c>
      <c r="F232" s="5" t="s">
        <v>9</v>
      </c>
      <c r="G232" s="2" t="s">
        <v>21</v>
      </c>
    </row>
    <row r="233" spans="1:7" x14ac:dyDescent="0.25">
      <c r="A233" s="11">
        <v>219</v>
      </c>
      <c r="B233" s="5" t="s">
        <v>856</v>
      </c>
      <c r="C233" s="11" t="s">
        <v>857</v>
      </c>
      <c r="D233" s="5" t="s">
        <v>858</v>
      </c>
      <c r="E233" s="8">
        <v>434</v>
      </c>
      <c r="F233" s="5" t="s">
        <v>9</v>
      </c>
      <c r="G233" s="2" t="s">
        <v>21</v>
      </c>
    </row>
    <row r="234" spans="1:7" x14ac:dyDescent="0.25">
      <c r="A234" s="11">
        <v>220</v>
      </c>
      <c r="B234" s="5" t="s">
        <v>77</v>
      </c>
      <c r="C234" s="11">
        <v>80109305109</v>
      </c>
      <c r="D234" s="5" t="s">
        <v>78</v>
      </c>
      <c r="E234" s="8">
        <v>624.38</v>
      </c>
      <c r="F234" s="5" t="s">
        <v>9</v>
      </c>
      <c r="G234" s="2" t="s">
        <v>349</v>
      </c>
    </row>
    <row r="235" spans="1:7" x14ac:dyDescent="0.25">
      <c r="A235" s="11">
        <v>221</v>
      </c>
      <c r="B235" s="5" t="s">
        <v>1286</v>
      </c>
      <c r="C235" s="11">
        <v>57189591567</v>
      </c>
      <c r="D235" s="5" t="s">
        <v>1287</v>
      </c>
      <c r="E235" s="8">
        <v>68</v>
      </c>
      <c r="F235" s="5" t="s">
        <v>9</v>
      </c>
      <c r="G235" s="2" t="s">
        <v>21</v>
      </c>
    </row>
    <row r="236" spans="1:7" x14ac:dyDescent="0.25">
      <c r="A236" s="11">
        <v>222</v>
      </c>
      <c r="B236" s="5" t="s">
        <v>1527</v>
      </c>
      <c r="C236" s="11">
        <v>47865426584</v>
      </c>
      <c r="D236" s="5" t="s">
        <v>1528</v>
      </c>
      <c r="E236" s="8">
        <v>5</v>
      </c>
      <c r="F236" s="5" t="s">
        <v>9</v>
      </c>
      <c r="G236" s="2" t="s">
        <v>21</v>
      </c>
    </row>
    <row r="237" spans="1:7" x14ac:dyDescent="0.25">
      <c r="A237" s="11">
        <v>223</v>
      </c>
      <c r="B237" s="5" t="s">
        <v>1529</v>
      </c>
      <c r="C237" s="11">
        <v>95500712789</v>
      </c>
      <c r="D237" s="5" t="s">
        <v>1530</v>
      </c>
      <c r="E237" s="8">
        <v>3850</v>
      </c>
      <c r="F237" s="5" t="s">
        <v>9</v>
      </c>
      <c r="G237" s="2" t="s">
        <v>192</v>
      </c>
    </row>
    <row r="238" spans="1:7" x14ac:dyDescent="0.25">
      <c r="A238" s="11">
        <v>224</v>
      </c>
      <c r="B238" s="5" t="s">
        <v>687</v>
      </c>
      <c r="C238" s="11">
        <v>11711059133</v>
      </c>
      <c r="D238" s="5" t="s">
        <v>688</v>
      </c>
      <c r="E238" s="8">
        <f>682.5+617.5</f>
        <v>1300</v>
      </c>
      <c r="F238" s="5" t="s">
        <v>9</v>
      </c>
      <c r="G238" s="2" t="s">
        <v>21</v>
      </c>
    </row>
    <row r="239" spans="1:7" x14ac:dyDescent="0.25">
      <c r="A239" s="11">
        <v>225</v>
      </c>
      <c r="B239" s="5" t="s">
        <v>430</v>
      </c>
      <c r="C239" s="11">
        <v>77170927797</v>
      </c>
      <c r="D239" s="5" t="s">
        <v>431</v>
      </c>
      <c r="E239" s="8">
        <f>211.9+54.38+70.35+495</f>
        <v>831.63</v>
      </c>
      <c r="F239" s="5" t="s">
        <v>9</v>
      </c>
      <c r="G239" s="2" t="s">
        <v>21</v>
      </c>
    </row>
    <row r="240" spans="1:7" x14ac:dyDescent="0.25">
      <c r="A240" s="11">
        <v>226</v>
      </c>
      <c r="B240" s="5" t="s">
        <v>648</v>
      </c>
      <c r="C240" s="11">
        <v>25339023257</v>
      </c>
      <c r="D240" s="5" t="s">
        <v>649</v>
      </c>
      <c r="E240" s="8">
        <f>1060.9+2022.01+198.75</f>
        <v>3281.66</v>
      </c>
      <c r="F240" s="5" t="s">
        <v>9</v>
      </c>
      <c r="G240" s="2" t="s">
        <v>21</v>
      </c>
    </row>
    <row r="241" spans="1:7" x14ac:dyDescent="0.25">
      <c r="A241" s="11">
        <v>227</v>
      </c>
      <c r="B241" s="21" t="s">
        <v>262</v>
      </c>
      <c r="C241" s="22">
        <v>66181750806</v>
      </c>
      <c r="D241" s="21" t="s">
        <v>185</v>
      </c>
      <c r="E241" s="8">
        <f>1065.41+2167.54</f>
        <v>3232.95</v>
      </c>
      <c r="F241" s="21" t="s">
        <v>9</v>
      </c>
      <c r="G241" s="2" t="s">
        <v>263</v>
      </c>
    </row>
    <row r="242" spans="1:7" x14ac:dyDescent="0.25">
      <c r="A242" s="11">
        <v>228</v>
      </c>
      <c r="B242" s="5" t="s">
        <v>189</v>
      </c>
      <c r="C242" s="11">
        <v>62964458165</v>
      </c>
      <c r="D242" s="5" t="s">
        <v>190</v>
      </c>
      <c r="E242" s="8">
        <v>3338.54</v>
      </c>
      <c r="F242" s="5" t="s">
        <v>9</v>
      </c>
      <c r="G242" s="2" t="s">
        <v>21</v>
      </c>
    </row>
    <row r="243" spans="1:7" x14ac:dyDescent="0.25">
      <c r="A243" s="11">
        <v>229</v>
      </c>
      <c r="B243" s="5" t="s">
        <v>748</v>
      </c>
      <c r="C243" s="11">
        <v>17140959007</v>
      </c>
      <c r="D243" s="5" t="s">
        <v>749</v>
      </c>
      <c r="E243" s="8">
        <f>425.44+752.5</f>
        <v>1177.94</v>
      </c>
      <c r="F243" s="5" t="s">
        <v>9</v>
      </c>
      <c r="G243" s="2" t="s">
        <v>21</v>
      </c>
    </row>
    <row r="244" spans="1:7" x14ac:dyDescent="0.25">
      <c r="A244" s="11">
        <v>230</v>
      </c>
      <c r="B244" s="19" t="s">
        <v>1131</v>
      </c>
      <c r="C244" s="33">
        <v>38453826849</v>
      </c>
      <c r="D244" s="19" t="s">
        <v>1019</v>
      </c>
      <c r="E244" s="8">
        <f>1700.63+1020.38</f>
        <v>2721.01</v>
      </c>
      <c r="F244" s="5" t="s">
        <v>9</v>
      </c>
      <c r="G244" s="2" t="s">
        <v>21</v>
      </c>
    </row>
    <row r="245" spans="1:7" x14ac:dyDescent="0.25">
      <c r="A245" s="11">
        <v>231</v>
      </c>
      <c r="B245" s="5" t="s">
        <v>1294</v>
      </c>
      <c r="C245" s="11" t="s">
        <v>915</v>
      </c>
      <c r="D245" s="5" t="s">
        <v>916</v>
      </c>
      <c r="E245" s="8">
        <v>8141</v>
      </c>
      <c r="F245" s="5" t="s">
        <v>9</v>
      </c>
      <c r="G245" s="2" t="s">
        <v>21</v>
      </c>
    </row>
    <row r="246" spans="1:7" x14ac:dyDescent="0.25">
      <c r="A246" s="11">
        <v>232</v>
      </c>
      <c r="B246" s="5" t="s">
        <v>339</v>
      </c>
      <c r="C246" s="12" t="s">
        <v>341</v>
      </c>
      <c r="D246" s="5" t="s">
        <v>340</v>
      </c>
      <c r="E246" s="8">
        <f>1029.53+1259.14</f>
        <v>2288.67</v>
      </c>
      <c r="F246" s="5" t="s">
        <v>9</v>
      </c>
      <c r="G246" s="2" t="s">
        <v>337</v>
      </c>
    </row>
    <row r="247" spans="1:7" x14ac:dyDescent="0.25">
      <c r="A247" s="11">
        <v>233</v>
      </c>
      <c r="B247" s="19" t="s">
        <v>826</v>
      </c>
      <c r="C247" s="39">
        <v>26941634270</v>
      </c>
      <c r="D247" s="19" t="s">
        <v>827</v>
      </c>
      <c r="E247" s="8">
        <f>2000+4845.69</f>
        <v>6845.69</v>
      </c>
      <c r="F247" s="5" t="s">
        <v>9</v>
      </c>
      <c r="G247" s="2" t="s">
        <v>21</v>
      </c>
    </row>
    <row r="248" spans="1:7" x14ac:dyDescent="0.25">
      <c r="A248" s="11">
        <v>234</v>
      </c>
      <c r="B248" s="19" t="s">
        <v>1531</v>
      </c>
      <c r="C248" s="33">
        <v>71908956484</v>
      </c>
      <c r="D248" s="19" t="s">
        <v>1532</v>
      </c>
      <c r="E248" s="8">
        <f>3000+1829.75</f>
        <v>4829.75</v>
      </c>
      <c r="F248" s="5" t="s">
        <v>9</v>
      </c>
      <c r="G248" s="2" t="s">
        <v>255</v>
      </c>
    </row>
    <row r="249" spans="1:7" x14ac:dyDescent="0.25">
      <c r="A249" s="11">
        <v>235</v>
      </c>
      <c r="B249" s="19" t="s">
        <v>1533</v>
      </c>
      <c r="C249" s="33">
        <v>18458216879</v>
      </c>
      <c r="D249" s="19" t="s">
        <v>1534</v>
      </c>
      <c r="E249" s="8">
        <v>98.59</v>
      </c>
      <c r="F249" s="5" t="s">
        <v>9</v>
      </c>
      <c r="G249" s="2" t="s">
        <v>845</v>
      </c>
    </row>
    <row r="250" spans="1:7" x14ac:dyDescent="0.25">
      <c r="A250" s="11">
        <v>236</v>
      </c>
      <c r="B250" s="19" t="s">
        <v>1535</v>
      </c>
      <c r="C250" s="33">
        <v>95240603723</v>
      </c>
      <c r="D250" s="19" t="s">
        <v>1536</v>
      </c>
      <c r="E250" s="8">
        <f>2*412.5</f>
        <v>825</v>
      </c>
      <c r="F250" s="5" t="s">
        <v>9</v>
      </c>
      <c r="G250" s="2" t="s">
        <v>21</v>
      </c>
    </row>
    <row r="251" spans="1:7" x14ac:dyDescent="0.25">
      <c r="A251" s="11">
        <v>237</v>
      </c>
      <c r="B251" s="19" t="s">
        <v>1537</v>
      </c>
      <c r="C251" s="33">
        <v>38065977917</v>
      </c>
      <c r="D251" s="19" t="s">
        <v>1451</v>
      </c>
      <c r="E251" s="8">
        <v>11.69</v>
      </c>
      <c r="F251" s="5" t="s">
        <v>9</v>
      </c>
      <c r="G251" s="2" t="s">
        <v>394</v>
      </c>
    </row>
    <row r="252" spans="1:7" x14ac:dyDescent="0.25">
      <c r="A252" s="11">
        <v>238</v>
      </c>
      <c r="B252" s="19" t="s">
        <v>1538</v>
      </c>
      <c r="C252" s="33">
        <v>98138500552</v>
      </c>
      <c r="D252" s="19" t="s">
        <v>35</v>
      </c>
      <c r="E252" s="8">
        <v>687</v>
      </c>
      <c r="F252" s="5" t="s">
        <v>9</v>
      </c>
      <c r="G252" s="2" t="s">
        <v>101</v>
      </c>
    </row>
    <row r="253" spans="1:7" x14ac:dyDescent="0.25">
      <c r="A253" s="11">
        <v>239</v>
      </c>
      <c r="B253" s="19" t="s">
        <v>1021</v>
      </c>
      <c r="C253" s="33">
        <v>71478484696</v>
      </c>
      <c r="D253" s="19" t="s">
        <v>1539</v>
      </c>
      <c r="E253" s="8">
        <v>975</v>
      </c>
      <c r="F253" s="5" t="s">
        <v>9</v>
      </c>
      <c r="G253" s="2" t="s">
        <v>21</v>
      </c>
    </row>
    <row r="254" spans="1:7" x14ac:dyDescent="0.25">
      <c r="A254" s="11">
        <v>240</v>
      </c>
      <c r="B254" s="5" t="s">
        <v>336</v>
      </c>
      <c r="C254" s="11">
        <v>69857578031</v>
      </c>
      <c r="D254" s="5" t="s">
        <v>338</v>
      </c>
      <c r="E254" s="8">
        <f>742.96+383.44+417.31</f>
        <v>1543.71</v>
      </c>
      <c r="F254" s="5" t="s">
        <v>9</v>
      </c>
      <c r="G254" s="2" t="s">
        <v>337</v>
      </c>
    </row>
    <row r="255" spans="1:7" x14ac:dyDescent="0.25">
      <c r="A255" s="11">
        <v>241</v>
      </c>
      <c r="B255" s="5" t="s">
        <v>40</v>
      </c>
      <c r="C255" s="11">
        <v>23308926345</v>
      </c>
      <c r="D255" s="5" t="s">
        <v>53</v>
      </c>
      <c r="E255" s="15">
        <f>3*207.31</f>
        <v>621.93000000000006</v>
      </c>
      <c r="F255" s="5" t="s">
        <v>9</v>
      </c>
      <c r="G255" s="2" t="s">
        <v>39</v>
      </c>
    </row>
    <row r="256" spans="1:7" x14ac:dyDescent="0.25">
      <c r="A256" s="11">
        <v>242</v>
      </c>
      <c r="B256" s="5" t="s">
        <v>408</v>
      </c>
      <c r="C256" s="11" t="s">
        <v>409</v>
      </c>
      <c r="D256" s="5" t="s">
        <v>410</v>
      </c>
      <c r="E256" s="8">
        <v>2500</v>
      </c>
      <c r="F256" s="5" t="s">
        <v>9</v>
      </c>
      <c r="G256" s="2" t="s">
        <v>21</v>
      </c>
    </row>
    <row r="257" spans="1:7" x14ac:dyDescent="0.25">
      <c r="A257" s="11">
        <v>243</v>
      </c>
      <c r="B257" s="5" t="s">
        <v>406</v>
      </c>
      <c r="C257" s="11">
        <v>82510351433</v>
      </c>
      <c r="D257" s="5" t="s">
        <v>407</v>
      </c>
      <c r="E257" s="8">
        <f>197.48+792.54</f>
        <v>990.02</v>
      </c>
      <c r="F257" s="5" t="s">
        <v>9</v>
      </c>
      <c r="G257" s="2" t="s">
        <v>21</v>
      </c>
    </row>
    <row r="258" spans="1:7" x14ac:dyDescent="0.25">
      <c r="A258" s="11">
        <v>244</v>
      </c>
      <c r="B258" s="40" t="s">
        <v>1373</v>
      </c>
      <c r="C258" s="41">
        <v>80653493587</v>
      </c>
      <c r="D258" s="40" t="s">
        <v>1374</v>
      </c>
      <c r="E258" s="8">
        <v>1155</v>
      </c>
      <c r="F258" s="5" t="s">
        <v>9</v>
      </c>
      <c r="G258" s="2" t="s">
        <v>21</v>
      </c>
    </row>
    <row r="259" spans="1:7" x14ac:dyDescent="0.25">
      <c r="A259" s="11">
        <v>245</v>
      </c>
      <c r="B259" s="5" t="s">
        <v>1446</v>
      </c>
      <c r="C259" s="11">
        <v>38668338725</v>
      </c>
      <c r="D259" s="5" t="s">
        <v>1447</v>
      </c>
      <c r="E259" s="8">
        <v>1000</v>
      </c>
      <c r="F259" s="5" t="s">
        <v>9</v>
      </c>
      <c r="G259" s="2" t="s">
        <v>178</v>
      </c>
    </row>
    <row r="260" spans="1:7" x14ac:dyDescent="0.25">
      <c r="A260" s="11">
        <v>246</v>
      </c>
      <c r="B260" s="5" t="s">
        <v>1295</v>
      </c>
      <c r="C260" s="11" t="s">
        <v>1296</v>
      </c>
      <c r="D260" s="5" t="s">
        <v>1297</v>
      </c>
      <c r="E260" s="8">
        <v>9788</v>
      </c>
      <c r="F260" s="5" t="s">
        <v>9</v>
      </c>
      <c r="G260" s="2" t="s">
        <v>21</v>
      </c>
    </row>
    <row r="261" spans="1:7" x14ac:dyDescent="0.25">
      <c r="A261" s="11">
        <v>247</v>
      </c>
      <c r="B261" s="5" t="s">
        <v>1153</v>
      </c>
      <c r="C261" s="11">
        <v>72026633009</v>
      </c>
      <c r="D261" s="5" t="s">
        <v>1154</v>
      </c>
      <c r="E261" s="8">
        <v>610</v>
      </c>
      <c r="F261" s="5" t="s">
        <v>9</v>
      </c>
      <c r="G261" s="2" t="s">
        <v>21</v>
      </c>
    </row>
    <row r="262" spans="1:7" x14ac:dyDescent="0.25">
      <c r="A262" s="11">
        <v>248</v>
      </c>
      <c r="B262" s="5" t="s">
        <v>861</v>
      </c>
      <c r="C262" s="11">
        <v>88470929840</v>
      </c>
      <c r="D262" s="5" t="s">
        <v>862</v>
      </c>
      <c r="E262" s="8">
        <v>183.83</v>
      </c>
      <c r="F262" s="5" t="s">
        <v>9</v>
      </c>
      <c r="G262" s="2" t="s">
        <v>21</v>
      </c>
    </row>
    <row r="263" spans="1:7" x14ac:dyDescent="0.25">
      <c r="A263" s="11">
        <v>249</v>
      </c>
      <c r="B263" s="5" t="s">
        <v>596</v>
      </c>
      <c r="C263" s="11">
        <v>75798666307</v>
      </c>
      <c r="D263" s="5" t="s">
        <v>1540</v>
      </c>
      <c r="E263" s="8">
        <v>357.45</v>
      </c>
      <c r="F263" s="5" t="s">
        <v>9</v>
      </c>
      <c r="G263" s="2" t="s">
        <v>394</v>
      </c>
    </row>
    <row r="264" spans="1:7" x14ac:dyDescent="0.25">
      <c r="A264" s="11">
        <v>250</v>
      </c>
      <c r="B264" s="5" t="s">
        <v>961</v>
      </c>
      <c r="C264" s="11">
        <v>77022388360</v>
      </c>
      <c r="D264" s="5" t="s">
        <v>769</v>
      </c>
      <c r="E264" s="8">
        <v>69.400000000000006</v>
      </c>
      <c r="F264" s="5" t="s">
        <v>9</v>
      </c>
      <c r="G264" s="2" t="s">
        <v>21</v>
      </c>
    </row>
    <row r="265" spans="1:7" x14ac:dyDescent="0.25">
      <c r="A265" s="11">
        <v>251</v>
      </c>
      <c r="B265" s="5" t="s">
        <v>734</v>
      </c>
      <c r="C265" s="11">
        <v>66734484850</v>
      </c>
      <c r="D265" s="5" t="s">
        <v>735</v>
      </c>
      <c r="E265" s="8">
        <v>1222.73</v>
      </c>
      <c r="F265" s="5" t="s">
        <v>9</v>
      </c>
      <c r="G265" s="2" t="s">
        <v>453</v>
      </c>
    </row>
    <row r="266" spans="1:7" x14ac:dyDescent="0.25">
      <c r="A266" s="11">
        <v>252</v>
      </c>
      <c r="B266" s="5" t="s">
        <v>48</v>
      </c>
      <c r="C266" s="11">
        <v>93039509752</v>
      </c>
      <c r="D266" s="5" t="s">
        <v>54</v>
      </c>
      <c r="E266" s="20">
        <f>624.25+970.54</f>
        <v>1594.79</v>
      </c>
      <c r="F266" s="19" t="s">
        <v>9</v>
      </c>
      <c r="G266" s="2" t="s">
        <v>49</v>
      </c>
    </row>
    <row r="267" spans="1:7" x14ac:dyDescent="0.25">
      <c r="A267" s="11">
        <v>253</v>
      </c>
      <c r="B267" s="5" t="s">
        <v>204</v>
      </c>
      <c r="C267" s="11">
        <v>96514832734</v>
      </c>
      <c r="D267" s="5" t="s">
        <v>205</v>
      </c>
      <c r="E267" s="8">
        <f>5000</f>
        <v>5000</v>
      </c>
      <c r="F267" s="5" t="s">
        <v>9</v>
      </c>
      <c r="G267" s="2" t="s">
        <v>21</v>
      </c>
    </row>
    <row r="268" spans="1:7" x14ac:dyDescent="0.25">
      <c r="A268" s="11">
        <v>254</v>
      </c>
      <c r="B268" s="5" t="s">
        <v>180</v>
      </c>
      <c r="C268" s="11">
        <v>48491501393</v>
      </c>
      <c r="D268" s="5" t="s">
        <v>181</v>
      </c>
      <c r="E268" s="8">
        <f>2000+4994.65</f>
        <v>6994.65</v>
      </c>
      <c r="F268" s="5" t="s">
        <v>9</v>
      </c>
      <c r="G268" s="2" t="s">
        <v>21</v>
      </c>
    </row>
    <row r="269" spans="1:7" x14ac:dyDescent="0.25">
      <c r="A269" s="11">
        <v>255</v>
      </c>
      <c r="B269" s="5" t="s">
        <v>877</v>
      </c>
      <c r="C269" s="11">
        <v>13534526502</v>
      </c>
      <c r="D269" s="5" t="s">
        <v>878</v>
      </c>
      <c r="E269" s="8">
        <v>2775.45</v>
      </c>
      <c r="F269" s="5" t="s">
        <v>9</v>
      </c>
      <c r="G269" s="2" t="s">
        <v>21</v>
      </c>
    </row>
    <row r="270" spans="1:7" x14ac:dyDescent="0.25">
      <c r="A270" s="11">
        <v>256</v>
      </c>
      <c r="B270" s="5" t="s">
        <v>122</v>
      </c>
      <c r="C270" s="11">
        <v>64862538713</v>
      </c>
      <c r="D270" s="5" t="s">
        <v>160</v>
      </c>
      <c r="E270" s="8">
        <f>982.45+780</f>
        <v>1762.45</v>
      </c>
      <c r="F270" s="5" t="s">
        <v>9</v>
      </c>
      <c r="G270" s="2" t="s">
        <v>21</v>
      </c>
    </row>
    <row r="271" spans="1:7" x14ac:dyDescent="0.25">
      <c r="A271" s="11">
        <v>257</v>
      </c>
      <c r="B271" s="5" t="s">
        <v>271</v>
      </c>
      <c r="C271" s="11">
        <v>26901839603</v>
      </c>
      <c r="D271" s="5" t="s">
        <v>272</v>
      </c>
      <c r="E271" s="8">
        <f>191.83+977.84+1766.39+1112.9+224.38</f>
        <v>4273.34</v>
      </c>
      <c r="F271" s="5" t="s">
        <v>9</v>
      </c>
      <c r="G271" s="2" t="s">
        <v>21</v>
      </c>
    </row>
    <row r="272" spans="1:7" x14ac:dyDescent="0.25">
      <c r="A272" s="11">
        <v>258</v>
      </c>
      <c r="B272" s="5" t="s">
        <v>373</v>
      </c>
      <c r="C272" s="11">
        <v>75725588375</v>
      </c>
      <c r="D272" s="5" t="s">
        <v>374</v>
      </c>
      <c r="E272" s="8">
        <f>1000+1153.88</f>
        <v>2153.88</v>
      </c>
      <c r="F272" s="5" t="s">
        <v>9</v>
      </c>
      <c r="G272" s="2" t="s">
        <v>21</v>
      </c>
    </row>
    <row r="273" spans="1:7" x14ac:dyDescent="0.25">
      <c r="A273" s="11">
        <v>259</v>
      </c>
      <c r="B273" s="5" t="s">
        <v>297</v>
      </c>
      <c r="C273" s="11">
        <v>110752628</v>
      </c>
      <c r="D273" s="5" t="s">
        <v>300</v>
      </c>
      <c r="E273" s="8">
        <f>10214.25+14748.65</f>
        <v>24962.9</v>
      </c>
      <c r="F273" s="5" t="s">
        <v>9</v>
      </c>
      <c r="G273" s="2" t="s">
        <v>21</v>
      </c>
    </row>
    <row r="274" spans="1:7" x14ac:dyDescent="0.25">
      <c r="A274" s="11">
        <v>260</v>
      </c>
      <c r="B274" s="5" t="s">
        <v>114</v>
      </c>
      <c r="C274" s="11" t="s">
        <v>432</v>
      </c>
      <c r="D274" s="5" t="s">
        <v>432</v>
      </c>
      <c r="E274" s="8">
        <v>1213.3599999999999</v>
      </c>
      <c r="F274" s="5" t="s">
        <v>9</v>
      </c>
      <c r="G274" s="2" t="s">
        <v>1062</v>
      </c>
    </row>
    <row r="275" spans="1:7" x14ac:dyDescent="0.25">
      <c r="A275" s="11">
        <v>261</v>
      </c>
      <c r="B275" s="21" t="s">
        <v>143</v>
      </c>
      <c r="C275" s="22">
        <v>34421776805</v>
      </c>
      <c r="D275" s="21" t="s">
        <v>175</v>
      </c>
      <c r="E275" s="8">
        <f>1496.9+385.11+878.73+922.43+695.29</f>
        <v>4378.46</v>
      </c>
      <c r="F275" s="5" t="s">
        <v>9</v>
      </c>
      <c r="G275" s="2" t="s">
        <v>144</v>
      </c>
    </row>
    <row r="276" spans="1:7" x14ac:dyDescent="0.25">
      <c r="A276" s="11">
        <v>262</v>
      </c>
      <c r="B276" s="5" t="s">
        <v>15</v>
      </c>
      <c r="C276" s="11" t="s">
        <v>15</v>
      </c>
      <c r="D276" s="5" t="s">
        <v>15</v>
      </c>
      <c r="E276" s="8">
        <v>1575</v>
      </c>
      <c r="F276" s="5" t="s">
        <v>9</v>
      </c>
      <c r="G276" s="2" t="s">
        <v>1361</v>
      </c>
    </row>
    <row r="277" spans="1:7" x14ac:dyDescent="0.25">
      <c r="A277" s="11">
        <v>263</v>
      </c>
      <c r="B277" s="5" t="s">
        <v>947</v>
      </c>
      <c r="C277" s="12">
        <v>88137585457</v>
      </c>
      <c r="D277" s="5" t="s">
        <v>948</v>
      </c>
      <c r="E277" s="8">
        <f>4530</f>
        <v>4530</v>
      </c>
      <c r="F277" s="5" t="s">
        <v>9</v>
      </c>
      <c r="G277" s="2" t="s">
        <v>21</v>
      </c>
    </row>
    <row r="278" spans="1:7" x14ac:dyDescent="0.25">
      <c r="A278" s="11">
        <v>264</v>
      </c>
      <c r="B278" s="5" t="s">
        <v>220</v>
      </c>
      <c r="C278" s="11" t="s">
        <v>221</v>
      </c>
      <c r="D278" s="5" t="s">
        <v>222</v>
      </c>
      <c r="E278" s="8">
        <v>10045.629999999999</v>
      </c>
      <c r="F278" s="5" t="s">
        <v>9</v>
      </c>
      <c r="G278" s="2" t="s">
        <v>21</v>
      </c>
    </row>
    <row r="279" spans="1:7" x14ac:dyDescent="0.25">
      <c r="A279" s="11">
        <v>265</v>
      </c>
      <c r="B279" s="5" t="s">
        <v>848</v>
      </c>
      <c r="C279" s="11">
        <v>82298562620</v>
      </c>
      <c r="D279" s="5" t="s">
        <v>849</v>
      </c>
      <c r="E279" s="8">
        <v>225.6</v>
      </c>
      <c r="F279" s="5" t="s">
        <v>9</v>
      </c>
      <c r="G279" s="2" t="s">
        <v>394</v>
      </c>
    </row>
    <row r="280" spans="1:7" x14ac:dyDescent="0.25">
      <c r="A280" s="11">
        <v>266</v>
      </c>
      <c r="B280" s="5" t="s">
        <v>319</v>
      </c>
      <c r="C280" s="11" t="s">
        <v>320</v>
      </c>
      <c r="D280" s="5" t="s">
        <v>321</v>
      </c>
      <c r="E280" s="8">
        <f>4679.12+5907.56</f>
        <v>10586.68</v>
      </c>
      <c r="F280" s="5" t="s">
        <v>9</v>
      </c>
      <c r="G280" s="2" t="s">
        <v>21</v>
      </c>
    </row>
    <row r="281" spans="1:7" x14ac:dyDescent="0.25">
      <c r="A281" s="11">
        <v>267</v>
      </c>
      <c r="B281" s="5" t="s">
        <v>428</v>
      </c>
      <c r="C281" s="11">
        <v>80972836106</v>
      </c>
      <c r="D281" s="5" t="s">
        <v>429</v>
      </c>
      <c r="E281" s="8">
        <f>98.1+127.4</f>
        <v>225.5</v>
      </c>
      <c r="F281" s="5" t="s">
        <v>9</v>
      </c>
      <c r="G281" s="2" t="s">
        <v>130</v>
      </c>
    </row>
    <row r="282" spans="1:7" x14ac:dyDescent="0.25">
      <c r="A282" s="11">
        <v>268</v>
      </c>
      <c r="B282" s="5" t="s">
        <v>867</v>
      </c>
      <c r="C282" s="11">
        <v>97304721774</v>
      </c>
      <c r="D282" s="5" t="s">
        <v>868</v>
      </c>
      <c r="E282" s="8">
        <f>1462.5+1450</f>
        <v>2912.5</v>
      </c>
      <c r="F282" s="5" t="s">
        <v>9</v>
      </c>
      <c r="G282" s="2" t="s">
        <v>21</v>
      </c>
    </row>
    <row r="283" spans="1:7" x14ac:dyDescent="0.25">
      <c r="A283" s="11">
        <v>269</v>
      </c>
      <c r="B283" s="5" t="s">
        <v>546</v>
      </c>
      <c r="C283" s="11">
        <v>80805858278</v>
      </c>
      <c r="D283" s="5" t="s">
        <v>187</v>
      </c>
      <c r="E283" s="8">
        <v>64.61</v>
      </c>
      <c r="F283" s="5" t="s">
        <v>9</v>
      </c>
      <c r="G283" s="2" t="s">
        <v>47</v>
      </c>
    </row>
    <row r="284" spans="1:7" x14ac:dyDescent="0.25">
      <c r="A284" s="11">
        <v>270</v>
      </c>
      <c r="B284" s="5" t="s">
        <v>1541</v>
      </c>
      <c r="C284" s="11">
        <v>70914161709</v>
      </c>
      <c r="D284" s="5" t="s">
        <v>1542</v>
      </c>
      <c r="E284" s="8">
        <v>193.75</v>
      </c>
      <c r="F284" s="5" t="s">
        <v>9</v>
      </c>
      <c r="G284" s="2" t="s">
        <v>211</v>
      </c>
    </row>
    <row r="285" spans="1:7" x14ac:dyDescent="0.25">
      <c r="A285" s="11">
        <v>271</v>
      </c>
      <c r="B285" s="5" t="s">
        <v>590</v>
      </c>
      <c r="C285" s="11">
        <v>58421021869</v>
      </c>
      <c r="D285" s="5" t="s">
        <v>591</v>
      </c>
      <c r="E285" s="8">
        <f>4000+4000+9221.8</f>
        <v>17221.8</v>
      </c>
      <c r="F285" s="5" t="s">
        <v>9</v>
      </c>
      <c r="G285" s="2" t="s">
        <v>21</v>
      </c>
    </row>
    <row r="286" spans="1:7" x14ac:dyDescent="0.25">
      <c r="A286" s="11">
        <v>272</v>
      </c>
      <c r="B286" s="5" t="s">
        <v>289</v>
      </c>
      <c r="C286" s="11">
        <v>95325472047</v>
      </c>
      <c r="D286" s="5" t="s">
        <v>290</v>
      </c>
      <c r="E286" s="8">
        <f>1850.13+110.26+6818.21+1293.2</f>
        <v>10071.800000000001</v>
      </c>
      <c r="F286" s="5" t="s">
        <v>9</v>
      </c>
      <c r="G286" s="2" t="s">
        <v>21</v>
      </c>
    </row>
    <row r="287" spans="1:7" x14ac:dyDescent="0.25">
      <c r="A287" s="11">
        <v>273</v>
      </c>
      <c r="B287" s="5" t="s">
        <v>246</v>
      </c>
      <c r="C287" s="11">
        <v>97994010225</v>
      </c>
      <c r="D287" s="5" t="s">
        <v>247</v>
      </c>
      <c r="E287" s="8">
        <v>869.6</v>
      </c>
      <c r="F287" s="5" t="s">
        <v>9</v>
      </c>
      <c r="G287" s="2" t="s">
        <v>21</v>
      </c>
    </row>
    <row r="288" spans="1:7" x14ac:dyDescent="0.25">
      <c r="A288" s="11">
        <v>274</v>
      </c>
      <c r="B288" s="5" t="s">
        <v>378</v>
      </c>
      <c r="C288" s="11">
        <v>54527841697</v>
      </c>
      <c r="D288" s="5" t="s">
        <v>389</v>
      </c>
      <c r="E288" s="8">
        <f>497.5+606.25+562.5+797.5+277.5</f>
        <v>2741.25</v>
      </c>
      <c r="F288" s="5" t="s">
        <v>9</v>
      </c>
      <c r="G288" s="2" t="s">
        <v>21</v>
      </c>
    </row>
    <row r="289" spans="1:7" x14ac:dyDescent="0.25">
      <c r="A289" s="11">
        <v>275</v>
      </c>
      <c r="B289" s="5" t="s">
        <v>718</v>
      </c>
      <c r="C289" s="11">
        <v>57495737984</v>
      </c>
      <c r="D289" s="5" t="s">
        <v>719</v>
      </c>
      <c r="E289" s="8">
        <v>378.25</v>
      </c>
      <c r="F289" s="5" t="s">
        <v>9</v>
      </c>
      <c r="G289" s="2" t="s">
        <v>211</v>
      </c>
    </row>
    <row r="290" spans="1:7" x14ac:dyDescent="0.25">
      <c r="A290" s="11">
        <v>276</v>
      </c>
      <c r="B290" s="5" t="s">
        <v>1063</v>
      </c>
      <c r="C290" s="11">
        <v>32047404941</v>
      </c>
      <c r="D290" s="5" t="s">
        <v>1064</v>
      </c>
      <c r="E290" s="8">
        <f>1000+1000+1850</f>
        <v>3850</v>
      </c>
      <c r="F290" s="5" t="s">
        <v>9</v>
      </c>
      <c r="G290" s="2" t="s">
        <v>21</v>
      </c>
    </row>
    <row r="291" spans="1:7" x14ac:dyDescent="0.25">
      <c r="A291" s="11">
        <v>277</v>
      </c>
      <c r="B291" s="5" t="s">
        <v>382</v>
      </c>
      <c r="C291" s="11">
        <v>38867318377</v>
      </c>
      <c r="D291" s="5" t="s">
        <v>383</v>
      </c>
      <c r="E291" s="8">
        <f>1330.16+411.75</f>
        <v>1741.91</v>
      </c>
      <c r="F291" s="5" t="s">
        <v>9</v>
      </c>
      <c r="G291" s="2" t="s">
        <v>21</v>
      </c>
    </row>
    <row r="292" spans="1:7" x14ac:dyDescent="0.25">
      <c r="A292" s="11">
        <v>278</v>
      </c>
      <c r="B292" s="5" t="s">
        <v>487</v>
      </c>
      <c r="C292" s="11" t="s">
        <v>489</v>
      </c>
      <c r="D292" s="5" t="s">
        <v>488</v>
      </c>
      <c r="E292" s="8">
        <v>1995.75</v>
      </c>
      <c r="F292" s="5" t="s">
        <v>9</v>
      </c>
      <c r="G292" s="2" t="s">
        <v>21</v>
      </c>
    </row>
    <row r="293" spans="1:7" x14ac:dyDescent="0.25">
      <c r="A293" s="11">
        <v>279</v>
      </c>
      <c r="B293" s="5" t="s">
        <v>183</v>
      </c>
      <c r="C293" s="11">
        <v>26004523816</v>
      </c>
      <c r="D293" s="5" t="s">
        <v>185</v>
      </c>
      <c r="E293" s="8">
        <f>2794.93+1548.39</f>
        <v>4343.32</v>
      </c>
      <c r="F293" s="5" t="s">
        <v>9</v>
      </c>
      <c r="G293" s="2" t="s">
        <v>21</v>
      </c>
    </row>
    <row r="294" spans="1:7" x14ac:dyDescent="0.25">
      <c r="A294" s="11">
        <v>280</v>
      </c>
      <c r="B294" s="5" t="s">
        <v>519</v>
      </c>
      <c r="C294" s="11">
        <v>64634216475</v>
      </c>
      <c r="D294" s="5" t="s">
        <v>520</v>
      </c>
      <c r="E294" s="8">
        <f>119.31+41.6+60</f>
        <v>220.91</v>
      </c>
      <c r="F294" s="5" t="s">
        <v>9</v>
      </c>
      <c r="G294" s="2" t="s">
        <v>21</v>
      </c>
    </row>
    <row r="295" spans="1:7" x14ac:dyDescent="0.25">
      <c r="A295" s="11">
        <v>281</v>
      </c>
      <c r="B295" s="5" t="s">
        <v>1543</v>
      </c>
      <c r="C295" s="11">
        <v>72702911449</v>
      </c>
      <c r="D295" s="5" t="s">
        <v>1544</v>
      </c>
      <c r="E295" s="8">
        <f>1083.75+172.5</f>
        <v>1256.25</v>
      </c>
      <c r="F295" s="5" t="s">
        <v>9</v>
      </c>
      <c r="G295" s="2" t="s">
        <v>1284</v>
      </c>
    </row>
    <row r="296" spans="1:7" x14ac:dyDescent="0.25">
      <c r="A296" s="11">
        <v>282</v>
      </c>
      <c r="B296" s="5" t="s">
        <v>1545</v>
      </c>
      <c r="C296" s="11">
        <v>44037104964</v>
      </c>
      <c r="D296" s="5" t="s">
        <v>1546</v>
      </c>
      <c r="E296" s="8">
        <v>350</v>
      </c>
      <c r="F296" s="5" t="s">
        <v>9</v>
      </c>
      <c r="G296" s="2" t="s">
        <v>132</v>
      </c>
    </row>
    <row r="297" spans="1:7" x14ac:dyDescent="0.25">
      <c r="A297" s="11">
        <v>283</v>
      </c>
      <c r="B297" s="5" t="s">
        <v>592</v>
      </c>
      <c r="C297" s="11">
        <v>89102192044</v>
      </c>
      <c r="D297" s="5" t="s">
        <v>593</v>
      </c>
      <c r="E297" s="8">
        <v>280</v>
      </c>
      <c r="F297" s="5" t="s">
        <v>9</v>
      </c>
      <c r="G297" s="2" t="s">
        <v>337</v>
      </c>
    </row>
    <row r="298" spans="1:7" x14ac:dyDescent="0.25">
      <c r="A298" s="11">
        <v>284</v>
      </c>
      <c r="B298" s="5" t="s">
        <v>309</v>
      </c>
      <c r="C298" s="11">
        <v>76147579166</v>
      </c>
      <c r="D298" s="5" t="s">
        <v>310</v>
      </c>
      <c r="E298" s="8">
        <f>1125.69+148.96+323.83+154.12+95.18+4.3</f>
        <v>1852.08</v>
      </c>
      <c r="F298" s="5" t="s">
        <v>9</v>
      </c>
      <c r="G298" s="2" t="s">
        <v>21</v>
      </c>
    </row>
    <row r="299" spans="1:7" x14ac:dyDescent="0.25">
      <c r="A299" s="11">
        <v>285</v>
      </c>
      <c r="B299" s="5" t="s">
        <v>354</v>
      </c>
      <c r="C299" s="11">
        <v>79378753915</v>
      </c>
      <c r="D299" s="5" t="s">
        <v>355</v>
      </c>
      <c r="E299" s="8">
        <f>764.75+770.25</f>
        <v>1535</v>
      </c>
      <c r="F299" s="5" t="s">
        <v>9</v>
      </c>
      <c r="G299" s="2" t="s">
        <v>21</v>
      </c>
    </row>
    <row r="300" spans="1:7" x14ac:dyDescent="0.25">
      <c r="A300" s="11">
        <v>286</v>
      </c>
      <c r="B300" s="5" t="s">
        <v>616</v>
      </c>
      <c r="C300" s="12">
        <v>15140147538</v>
      </c>
      <c r="D300" s="5" t="s">
        <v>384</v>
      </c>
      <c r="E300" s="8">
        <f>1178.4+1500+1287.5+615</f>
        <v>4580.8999999999996</v>
      </c>
      <c r="F300" s="5" t="s">
        <v>9</v>
      </c>
      <c r="G300" s="2" t="s">
        <v>21</v>
      </c>
    </row>
    <row r="301" spans="1:7" x14ac:dyDescent="0.25">
      <c r="A301" s="11">
        <v>287</v>
      </c>
      <c r="B301" s="5" t="s">
        <v>305</v>
      </c>
      <c r="C301" s="11">
        <v>53785632625</v>
      </c>
      <c r="D301" s="5" t="s">
        <v>306</v>
      </c>
      <c r="E301" s="8">
        <f>462.98+508.88+81.13+1161.18</f>
        <v>2214.17</v>
      </c>
      <c r="F301" s="5" t="s">
        <v>9</v>
      </c>
      <c r="G301" s="2" t="s">
        <v>21</v>
      </c>
    </row>
    <row r="302" spans="1:7" x14ac:dyDescent="0.25">
      <c r="A302" s="11">
        <v>288</v>
      </c>
      <c r="B302" s="5" t="s">
        <v>330</v>
      </c>
      <c r="C302" s="11">
        <v>54661026138</v>
      </c>
      <c r="D302" s="5" t="s">
        <v>331</v>
      </c>
      <c r="E302" s="8">
        <f>464.55+1818.38+1757.63+25.88+1171.75</f>
        <v>5238.1900000000005</v>
      </c>
      <c r="F302" s="5" t="s">
        <v>9</v>
      </c>
      <c r="G302" s="2" t="s">
        <v>21</v>
      </c>
    </row>
    <row r="303" spans="1:7" x14ac:dyDescent="0.25">
      <c r="A303" s="11">
        <v>289</v>
      </c>
      <c r="B303" s="5" t="s">
        <v>366</v>
      </c>
      <c r="C303" s="11">
        <v>22911773746</v>
      </c>
      <c r="D303" s="5" t="s">
        <v>367</v>
      </c>
      <c r="E303" s="8">
        <f>2720+1300</f>
        <v>4020</v>
      </c>
      <c r="F303" s="5" t="s">
        <v>9</v>
      </c>
      <c r="G303" s="2" t="s">
        <v>21</v>
      </c>
    </row>
    <row r="304" spans="1:7" x14ac:dyDescent="0.25">
      <c r="A304" s="11">
        <v>290</v>
      </c>
      <c r="B304" s="5" t="s">
        <v>137</v>
      </c>
      <c r="C304" s="12" t="s">
        <v>172</v>
      </c>
      <c r="D304" s="5" t="s">
        <v>171</v>
      </c>
      <c r="E304" s="8">
        <f>687.44+633.85</f>
        <v>1321.29</v>
      </c>
      <c r="F304" s="5" t="s">
        <v>9</v>
      </c>
      <c r="G304" s="2" t="s">
        <v>21</v>
      </c>
    </row>
    <row r="305" spans="1:7" x14ac:dyDescent="0.25">
      <c r="A305" s="11">
        <v>291</v>
      </c>
      <c r="B305" s="5" t="s">
        <v>525</v>
      </c>
      <c r="C305" s="11">
        <v>66402309304</v>
      </c>
      <c r="D305" s="5" t="s">
        <v>526</v>
      </c>
      <c r="E305" s="8">
        <f>150+6800</f>
        <v>6950</v>
      </c>
      <c r="F305" s="5" t="s">
        <v>9</v>
      </c>
      <c r="G305" s="2" t="s">
        <v>21</v>
      </c>
    </row>
    <row r="306" spans="1:7" x14ac:dyDescent="0.25">
      <c r="A306" s="11">
        <v>292</v>
      </c>
      <c r="B306" s="5" t="s">
        <v>1547</v>
      </c>
      <c r="C306" s="11">
        <v>54821149855</v>
      </c>
      <c r="D306" s="5" t="s">
        <v>1251</v>
      </c>
      <c r="E306" s="8">
        <v>63.43</v>
      </c>
      <c r="F306" s="5" t="s">
        <v>9</v>
      </c>
      <c r="G306" s="2" t="s">
        <v>211</v>
      </c>
    </row>
    <row r="307" spans="1:7" x14ac:dyDescent="0.25">
      <c r="A307" s="11">
        <v>293</v>
      </c>
      <c r="B307" s="5" t="s">
        <v>1548</v>
      </c>
      <c r="C307" s="11">
        <v>29519763547</v>
      </c>
      <c r="D307" s="5" t="s">
        <v>1549</v>
      </c>
      <c r="E307" s="8">
        <v>399.88</v>
      </c>
      <c r="F307" s="5" t="s">
        <v>9</v>
      </c>
      <c r="G307" s="2" t="s">
        <v>21</v>
      </c>
    </row>
    <row r="308" spans="1:7" x14ac:dyDescent="0.25">
      <c r="A308" s="11">
        <v>294</v>
      </c>
      <c r="B308" s="5" t="s">
        <v>1550</v>
      </c>
      <c r="C308" s="11">
        <v>78853440387</v>
      </c>
      <c r="D308" s="5" t="s">
        <v>573</v>
      </c>
      <c r="E308" s="8">
        <v>3374.18</v>
      </c>
      <c r="F308" s="5" t="s">
        <v>9</v>
      </c>
      <c r="G308" s="2" t="s">
        <v>21</v>
      </c>
    </row>
    <row r="309" spans="1:7" x14ac:dyDescent="0.25">
      <c r="A309" s="11">
        <v>295</v>
      </c>
      <c r="B309" s="5" t="s">
        <v>1358</v>
      </c>
      <c r="C309" s="12" t="s">
        <v>437</v>
      </c>
      <c r="D309" s="5" t="s">
        <v>438</v>
      </c>
      <c r="E309" s="8">
        <f>2*70.15</f>
        <v>140.30000000000001</v>
      </c>
      <c r="F309" s="5" t="s">
        <v>9</v>
      </c>
      <c r="G309" s="2" t="s">
        <v>241</v>
      </c>
    </row>
    <row r="310" spans="1:7" ht="4.5" customHeight="1" x14ac:dyDescent="0.25">
      <c r="A310" s="11"/>
      <c r="B310" s="5"/>
      <c r="C310" s="11"/>
      <c r="D310" s="5"/>
      <c r="E310" s="8"/>
      <c r="F310" s="5"/>
      <c r="G310" s="2"/>
    </row>
    <row r="311" spans="1:7" x14ac:dyDescent="0.25">
      <c r="A311" s="10"/>
      <c r="B311" s="1"/>
      <c r="C311" s="10"/>
      <c r="D311" s="1"/>
      <c r="E311" s="13"/>
      <c r="F311" s="1"/>
      <c r="G311" s="1"/>
    </row>
    <row r="312" spans="1:7" x14ac:dyDescent="0.25">
      <c r="A312" s="10"/>
      <c r="B312" s="1"/>
      <c r="C312" s="10"/>
      <c r="D312" s="53" t="s">
        <v>1551</v>
      </c>
      <c r="E312" s="63">
        <f>SUM(E11:E310)</f>
        <v>2542226.0399999977</v>
      </c>
      <c r="F312" s="1"/>
      <c r="G312" s="1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1"/>
      <c r="E314" s="13"/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</sheetData>
  <sheetProtection algorithmName="SHA-512" hashValue="Jyylui8uH52Brmfu8GkJbMlscNmqbWSNId3llhxXgLe/7aYobjLAsAzyR6iMxzLGFthHd6UaEXqY5VAwzO8q9Q==" saltValue="CU6tucb7JVU8ntkXJclpVg==" spinCount="100000" sheet="1" objects="1" scenarios="1" selectLockedCells="1" autoFilter="0" selectUnlockedCells="1"/>
  <autoFilter ref="A10:G309" xr:uid="{80424770-AA7B-411B-A5C0-73675F813C14}"/>
  <mergeCells count="18">
    <mergeCell ref="A6:B6"/>
    <mergeCell ref="A7:B7"/>
    <mergeCell ref="C8:F8"/>
    <mergeCell ref="A44:A45"/>
    <mergeCell ref="B44:B45"/>
    <mergeCell ref="C44:C45"/>
    <mergeCell ref="D44:D45"/>
    <mergeCell ref="F44:F45"/>
    <mergeCell ref="A123:A125"/>
    <mergeCell ref="B123:B125"/>
    <mergeCell ref="C123:C125"/>
    <mergeCell ref="D123:D125"/>
    <mergeCell ref="F123:F125"/>
    <mergeCell ref="A81:A82"/>
    <mergeCell ref="B81:B82"/>
    <mergeCell ref="C81:C82"/>
    <mergeCell ref="D81:D82"/>
    <mergeCell ref="F81:F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012025</vt:lpstr>
      <vt:lpstr>022025</vt:lpstr>
      <vt:lpstr>032025</vt:lpstr>
      <vt:lpstr>042025</vt:lpstr>
      <vt:lpstr>052025</vt:lpstr>
      <vt:lpstr>062025</vt:lpstr>
      <vt:lpstr>072025</vt:lpstr>
      <vt:lpstr>082025</vt:lpstr>
      <vt:lpstr>092025</vt:lpstr>
      <vt:lpstr>102025</vt:lpstr>
      <vt:lpstr>112025</vt:lpstr>
      <vt:lpstr>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2026-01-20T13:29:59Z</dcterms:modified>
</cp:coreProperties>
</file>